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etanfetamina" sheetId="1" r:id="rId3"/>
    <sheet state="visible" name="Hectáreas" sheetId="2" r:id="rId4"/>
    <sheet state="visible" name="# de plantíos" sheetId="3" r:id="rId5"/>
    <sheet state="visible" name="Gráficos" sheetId="4" r:id="rId6"/>
    <sheet state="visible" name="SIN vs MX" sheetId="5" r:id="rId7"/>
    <sheet state="hidden" name="Mariguana USA" sheetId="6" r:id="rId8"/>
  </sheets>
  <definedNames/>
  <calcPr/>
</workbook>
</file>

<file path=xl/sharedStrings.xml><?xml version="1.0" encoding="utf-8"?>
<sst xmlns="http://schemas.openxmlformats.org/spreadsheetml/2006/main" count="95" uniqueCount="60">
  <si>
    <t>Fuente: Secretaría de la Defensa Nacional, por medio de solicitudes de información.</t>
  </si>
  <si>
    <t>Fuente: Procuraduría General de la República, por medio de solicitudes de información.</t>
  </si>
  <si>
    <t>Amapola</t>
  </si>
  <si>
    <t>2012</t>
  </si>
  <si>
    <t>Kg de metanfetamina en Sinaloa</t>
  </si>
  <si>
    <t>-</t>
  </si>
  <si>
    <t>2013</t>
  </si>
  <si>
    <t>2014</t>
  </si>
  <si>
    <t>2015</t>
  </si>
  <si>
    <t>2016</t>
  </si>
  <si>
    <t>2017</t>
  </si>
  <si>
    <t>%</t>
  </si>
  <si>
    <t>Ahome</t>
  </si>
  <si>
    <t># de laboratorios en Sinaloa</t>
  </si>
  <si>
    <t>Mariguana erradicada en Sinaloa</t>
  </si>
  <si>
    <t>Amapola erradicada en Sinaloa</t>
  </si>
  <si>
    <t>Angostura</t>
  </si>
  <si>
    <t>Badiraguato</t>
  </si>
  <si>
    <t>Choix</t>
  </si>
  <si>
    <t>Concordia</t>
  </si>
  <si>
    <t>Cosalá</t>
  </si>
  <si>
    <t>Culiacán</t>
  </si>
  <si>
    <t>El Fuerte</t>
  </si>
  <si>
    <t>El Rosario</t>
  </si>
  <si>
    <t>Elota</t>
  </si>
  <si>
    <t>Escuinapa</t>
  </si>
  <si>
    <t>Guasave</t>
  </si>
  <si>
    <t>Mazatlán</t>
  </si>
  <si>
    <t>Mocorito</t>
  </si>
  <si>
    <t>Navolato</t>
  </si>
  <si>
    <t>Salvador Alvarado</t>
  </si>
  <si>
    <t>San Ignacio</t>
  </si>
  <si>
    <t>Sinaloa de Leyva</t>
  </si>
  <si>
    <t>Mariguana</t>
  </si>
  <si>
    <t>Fuente: La información relativa a México se extrajo del 4to Informe de Gobierno del presidente Enrique Peña Nieto, así como de información pública de la SEDENA.</t>
  </si>
  <si>
    <t>Sinaloa</t>
  </si>
  <si>
    <t>México</t>
  </si>
  <si>
    <t>Name of Grow Operation</t>
  </si>
  <si>
    <t>Current Square Footage</t>
  </si>
  <si>
    <t>Future Square Footage</t>
  </si>
  <si>
    <t>GrowHealthy</t>
  </si>
  <si>
    <t>TOTAL</t>
  </si>
  <si>
    <t>Revolution Enterprises</t>
  </si>
  <si>
    <t>Vireo Health NY</t>
  </si>
  <si>
    <t>Americann</t>
  </si>
  <si>
    <t>Copperstate Farms</t>
  </si>
  <si>
    <t>Harvest Inc.</t>
  </si>
  <si>
    <t>West Edge LLC</t>
  </si>
  <si>
    <t>Reef Dispensaries (Tryke)</t>
  </si>
  <si>
    <t>LivWell</t>
  </si>
  <si>
    <t>Green Man Cannabis</t>
  </si>
  <si>
    <t>Phat Panda Farms (Grow Op Farms)</t>
  </si>
  <si>
    <t>Colorado Harvest Company</t>
  </si>
  <si>
    <t>Essence Vegas</t>
  </si>
  <si>
    <t>R. Greenleaf Organics</t>
  </si>
  <si>
    <t>Veritas Cannabis</t>
  </si>
  <si>
    <t>Med Men</t>
  </si>
  <si>
    <t>Hectáreas</t>
  </si>
  <si>
    <t># de laboratorios</t>
  </si>
  <si>
    <t>Kg de meta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</si>
</sst>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/>
    <font>
      <b/>
      <sz val="11.0"/>
      <color rgb="FF000000"/>
      <name val="Calibri"/>
    </font>
    <font>
      <b/>
      <sz val="12.0"/>
    </font>
    <font>
      <sz val="11.0"/>
      <name val="Calibri"/>
    </font>
    <font>
      <b/>
    </font>
    <font>
      <b/>
      <name val="Arial"/>
    </font>
    <font>
      <name val="Arial"/>
    </font>
    <font>
      <sz val="11.0"/>
      <color rgb="FF000000"/>
      <name val="Calibri"/>
    </font>
    <font>
      <sz val="12.0"/>
      <name val="Calibri"/>
    </font>
    <font>
      <color rgb="FFFF0000"/>
    </font>
    <font>
      <sz val="11.0"/>
      <color rgb="FFFF0000"/>
      <name val="Calibri"/>
    </font>
    <font>
      <b/>
      <color rgb="FF6AA84F"/>
    </font>
    <font>
      <b/>
      <color rgb="FF000000"/>
      <name val="Arial"/>
    </font>
    <font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  <fill>
      <patternFill patternType="solid">
        <fgColor rgb="FF9FC5E8"/>
        <bgColor rgb="FF9FC5E8"/>
      </patternFill>
    </fill>
    <fill>
      <patternFill patternType="solid">
        <fgColor rgb="FF75993F"/>
        <bgColor rgb="FF75993F"/>
      </patternFill>
    </fill>
    <fill>
      <patternFill patternType="solid">
        <fgColor rgb="FFFFFF00"/>
        <bgColor rgb="FFFFFF00"/>
      </patternFill>
    </fill>
    <fill>
      <patternFill patternType="solid">
        <fgColor rgb="FFEEF7E3"/>
        <bgColor rgb="FFEEF7E3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ck">
        <color rgb="FF000000"/>
      </top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vertical="bottom"/>
    </xf>
    <xf borderId="0" fillId="2" fontId="1" numFmtId="0" xfId="0" applyAlignment="1" applyFill="1" applyFont="1">
      <alignment/>
    </xf>
    <xf borderId="0" fillId="0" fontId="1" numFmtId="0" xfId="0" applyAlignment="1" applyFont="1">
      <alignment horizontal="center"/>
    </xf>
    <xf borderId="1" fillId="3" fontId="2" numFmtId="0" xfId="0" applyAlignment="1" applyBorder="1" applyFill="1" applyFont="1">
      <alignment horizontal="center"/>
    </xf>
    <xf borderId="0" fillId="4" fontId="3" numFmtId="0" xfId="0" applyAlignment="1" applyFill="1" applyFont="1">
      <alignment horizontal="center"/>
    </xf>
    <xf borderId="1" fillId="3" fontId="2" numFmtId="0" xfId="0" applyAlignment="1" applyBorder="1" applyFont="1">
      <alignment horizontal="center"/>
    </xf>
    <xf borderId="1" fillId="0" fontId="4" numFmtId="3" xfId="0" applyAlignment="1" applyBorder="1" applyFont="1" applyNumberFormat="1">
      <alignment horizontal="center"/>
    </xf>
    <xf borderId="1" fillId="0" fontId="4" numFmtId="3" xfId="0" applyAlignment="1" applyBorder="1" applyFont="1" applyNumberFormat="1">
      <alignment horizontal="center"/>
    </xf>
    <xf borderId="0" fillId="5" fontId="5" numFmtId="0" xfId="0" applyAlignment="1" applyFill="1" applyFont="1">
      <alignment horizontal="center"/>
    </xf>
    <xf borderId="0" fillId="0" fontId="1" numFmtId="9" xfId="0" applyAlignment="1" applyFont="1" applyNumberFormat="1">
      <alignment/>
    </xf>
    <xf borderId="0" fillId="0" fontId="1" numFmtId="0" xfId="0" applyAlignment="1" applyFont="1">
      <alignment/>
    </xf>
    <xf borderId="0" fillId="5" fontId="6" numFmtId="0" xfId="0" applyAlignment="1" applyFont="1">
      <alignment horizontal="center" vertical="bottom"/>
    </xf>
    <xf borderId="1" fillId="0" fontId="4" numFmtId="1" xfId="0" applyAlignment="1" applyBorder="1" applyFont="1" applyNumberFormat="1">
      <alignment horizontal="center"/>
    </xf>
    <xf borderId="0" fillId="0" fontId="7" numFmtId="3" xfId="0" applyAlignment="1" applyFont="1" applyNumberFormat="1">
      <alignment horizontal="center" vertical="bottom"/>
    </xf>
    <xf borderId="1" fillId="0" fontId="4" numFmtId="1" xfId="0" applyAlignment="1" applyBorder="1" applyFont="1" applyNumberFormat="1">
      <alignment horizontal="center"/>
    </xf>
    <xf borderId="0" fillId="0" fontId="5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8" numFmtId="3" xfId="0" applyAlignment="1" applyBorder="1" applyFont="1" applyNumberFormat="1">
      <alignment horizontal="center"/>
    </xf>
    <xf borderId="0" fillId="6" fontId="1" numFmtId="3" xfId="0" applyAlignment="1" applyFill="1" applyFont="1" applyNumberFormat="1">
      <alignment horizontal="center"/>
    </xf>
    <xf borderId="0" fillId="0" fontId="1" numFmtId="10" xfId="0" applyAlignment="1" applyFont="1" applyNumberFormat="1">
      <alignment horizontal="center"/>
    </xf>
    <xf borderId="0" fillId="0" fontId="2" numFmtId="0" xfId="0" applyAlignment="1" applyFont="1">
      <alignment/>
    </xf>
    <xf borderId="0" fillId="0" fontId="4" numFmtId="2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10" numFmtId="10" xfId="0" applyFont="1" applyNumberFormat="1"/>
    <xf borderId="0" fillId="0" fontId="1" numFmtId="2" xfId="0" applyFont="1" applyNumberFormat="1"/>
    <xf borderId="0" fillId="0" fontId="5" numFmtId="0" xfId="0" applyAlignment="1" applyFont="1">
      <alignment horizontal="left"/>
    </xf>
    <xf borderId="0" fillId="0" fontId="1" numFmtId="1" xfId="0" applyAlignment="1" applyFont="1" applyNumberFormat="1">
      <alignment horizontal="center"/>
    </xf>
    <xf borderId="0" fillId="0" fontId="1" numFmtId="3" xfId="0" applyAlignment="1" applyFont="1" applyNumberFormat="1">
      <alignment horizontal="center"/>
    </xf>
    <xf borderId="0" fillId="7" fontId="1" numFmtId="3" xfId="0" applyAlignment="1" applyFill="1" applyFont="1" applyNumberFormat="1">
      <alignment horizontal="center"/>
    </xf>
    <xf borderId="0" fillId="5" fontId="5" numFmtId="0" xfId="0" applyAlignment="1" applyFont="1">
      <alignment horizontal="center"/>
    </xf>
    <xf borderId="0" fillId="0" fontId="7" numFmtId="3" xfId="0" applyAlignment="1" applyFont="1" applyNumberFormat="1">
      <alignment horizontal="center" vertical="bottom"/>
    </xf>
    <xf borderId="0" fillId="0" fontId="2" numFmtId="1" xfId="0" applyAlignment="1" applyFont="1" applyNumberFormat="1">
      <alignment horizontal="center"/>
    </xf>
    <xf borderId="1" fillId="3" fontId="2" numFmtId="1" xfId="0" applyAlignment="1" applyBorder="1" applyFont="1" applyNumberFormat="1">
      <alignment horizontal="center"/>
    </xf>
    <xf borderId="0" fillId="0" fontId="8" numFmtId="3" xfId="0" applyAlignment="1" applyFont="1" applyNumberFormat="1">
      <alignment horizontal="center"/>
    </xf>
    <xf borderId="0" fillId="0" fontId="5" numFmtId="1" xfId="0" applyAlignment="1" applyFont="1" applyNumberFormat="1">
      <alignment horizontal="center"/>
    </xf>
    <xf borderId="1" fillId="8" fontId="2" numFmtId="0" xfId="0" applyAlignment="1" applyBorder="1" applyFill="1" applyFont="1">
      <alignment horizontal="center"/>
    </xf>
    <xf borderId="1" fillId="0" fontId="8" numFmtId="3" xfId="0" applyAlignment="1" applyBorder="1" applyFont="1" applyNumberFormat="1">
      <alignment horizontal="center"/>
    </xf>
    <xf borderId="0" fillId="0" fontId="11" numFmtId="3" xfId="0" applyAlignment="1" applyFont="1" applyNumberFormat="1">
      <alignment horizontal="center"/>
    </xf>
    <xf borderId="2" fillId="0" fontId="4" numFmtId="3" xfId="0" applyAlignment="1" applyBorder="1" applyFont="1" applyNumberFormat="1">
      <alignment horizontal="center"/>
    </xf>
    <xf borderId="3" fillId="0" fontId="12" numFmtId="10" xfId="0" applyAlignment="1" applyBorder="1" applyFont="1" applyNumberFormat="1">
      <alignment horizontal="center"/>
    </xf>
    <xf borderId="1" fillId="9" fontId="13" numFmtId="0" xfId="0" applyAlignment="1" applyBorder="1" applyFill="1" applyFont="1">
      <alignment horizontal="center" vertical="bottom"/>
    </xf>
    <xf borderId="1" fillId="9" fontId="13" numFmtId="0" xfId="0" applyAlignment="1" applyBorder="1" applyFont="1">
      <alignment horizontal="center" vertical="bottom"/>
    </xf>
    <xf borderId="1" fillId="9" fontId="13" numFmtId="0" xfId="0" applyAlignment="1" applyBorder="1" applyFont="1">
      <alignment horizontal="center" vertical="bottom"/>
    </xf>
    <xf borderId="0" fillId="10" fontId="1" numFmtId="10" xfId="0" applyAlignment="1" applyFill="1" applyFont="1" applyNumberFormat="1">
      <alignment horizontal="center"/>
    </xf>
    <xf borderId="1" fillId="11" fontId="14" numFmtId="0" xfId="0" applyAlignment="1" applyBorder="1" applyFill="1" applyFont="1">
      <alignment horizontal="center" vertical="bottom"/>
    </xf>
    <xf borderId="0" fillId="0" fontId="5" numFmtId="0" xfId="0" applyAlignment="1" applyFont="1">
      <alignment horizontal="center"/>
    </xf>
    <xf borderId="1" fillId="11" fontId="14" numFmtId="3" xfId="0" applyAlignment="1" applyBorder="1" applyFont="1" applyNumberFormat="1">
      <alignment horizontal="center" vertical="bottom"/>
    </xf>
    <xf borderId="1" fillId="12" fontId="14" numFmtId="0" xfId="0" applyAlignment="1" applyBorder="1" applyFill="1" applyFont="1">
      <alignment horizontal="center" vertical="bottom"/>
    </xf>
    <xf borderId="1" fillId="12" fontId="14" numFmtId="3" xfId="0" applyAlignment="1" applyBorder="1" applyFont="1" applyNumberFormat="1">
      <alignment horizontal="center" vertical="bottom"/>
    </xf>
    <xf borderId="1" fillId="12" fontId="14" numFmtId="0" xfId="0" applyAlignment="1" applyBorder="1" applyFont="1">
      <alignment horizontal="center" vertical="bottom"/>
    </xf>
    <xf borderId="1" fillId="12" fontId="14" numFmtId="3" xfId="0" applyAlignment="1" applyBorder="1" applyFont="1" applyNumberFormat="1">
      <alignment horizontal="center" vertical="bottom"/>
    </xf>
    <xf borderId="1" fillId="11" fontId="14" numFmtId="0" xfId="0" applyAlignment="1" applyBorder="1" applyFont="1">
      <alignment horizontal="center" vertical="bottom"/>
    </xf>
    <xf borderId="0" fillId="0" fontId="5" numFmtId="3" xfId="0" applyAlignment="1" applyFont="1" applyNumberFormat="1">
      <alignment horizontal="center"/>
    </xf>
    <xf borderId="0" fillId="0" fontId="10" numFmtId="4" xfId="0" applyAlignment="1" applyFont="1" applyNumberFormat="1">
      <alignment horizontal="center"/>
    </xf>
    <xf borderId="1" fillId="0" fontId="5" numFmtId="0" xfId="0" applyAlignment="1" applyBorder="1" applyFont="1">
      <alignment horizontal="center"/>
    </xf>
    <xf borderId="0" fillId="0" fontId="10" numFmtId="1" xfId="0" applyAlignment="1" applyFont="1" applyNumberFormat="1">
      <alignment horizontal="center"/>
    </xf>
    <xf borderId="2" fillId="0" fontId="1" numFmtId="3" xfId="0" applyAlignment="1" applyBorder="1" applyFont="1" applyNumberFormat="1">
      <alignment horizontal="center"/>
    </xf>
    <xf borderId="0" fillId="0" fontId="10" numFmtId="3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Erradicación de plantíos en Sinaloa (por hectáreas)</a:t>
            </a:r>
          </a:p>
        </c:rich>
      </c:tx>
      <c:overlay val="0"/>
    </c:title>
    <c:plotArea>
      <c:layout>
        <c:manualLayout>
          <c:xMode val="edge"/>
          <c:yMode val="edge"/>
          <c:x val="0.0645085592830882"/>
          <c:y val="0.12119908204245547"/>
          <c:w val="0.7623388211263703"/>
          <c:h val="0.7987664945496271"/>
        </c:manualLayout>
      </c:layout>
      <c:lineChart>
        <c:ser>
          <c:idx val="0"/>
          <c:order val="0"/>
          <c:tx>
            <c:strRef>
              <c:f>'Hectáreas'!$A$4</c:f>
            </c:strRef>
          </c:tx>
          <c:spPr>
            <a:ln cmpd="sng"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'Hectáreas'!$B$3:$M$3</c:f>
            </c:strRef>
          </c:cat>
          <c:val>
            <c:numRef>
              <c:f>'Hectáreas'!$B$4:$M$4</c:f>
            </c:numRef>
          </c:val>
          <c:smooth val="0"/>
        </c:ser>
        <c:ser>
          <c:idx val="1"/>
          <c:order val="1"/>
          <c:tx>
            <c:strRef>
              <c:f>'Hectáreas'!$A$5</c:f>
            </c:strRef>
          </c:tx>
          <c:spPr>
            <a:ln cmpd="sng" w="25400">
              <a:solidFill>
                <a:srgbClr val="DC3912"/>
              </a:solidFill>
              <a:prstDash val="solid"/>
            </a:ln>
          </c:spPr>
          <c:marker>
            <c:symbol val="none"/>
          </c:marker>
          <c:cat>
            <c:strRef>
              <c:f>'Hectáreas'!$B$3:$M$3</c:f>
            </c:strRef>
          </c:cat>
          <c:val>
            <c:numRef>
              <c:f>'Hectáreas'!$B$5:$M$5</c:f>
            </c:numRef>
          </c:val>
          <c:smooth val="0"/>
        </c:ser>
        <c:axId val="1652700150"/>
        <c:axId val="933855965"/>
      </c:lineChart>
      <c:catAx>
        <c:axId val="1652700150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933855965"/>
      </c:catAx>
      <c:valAx>
        <c:axId val="933855965"/>
        <c:scaling>
          <c:orientation val="minMax"/>
        </c:scaling>
        <c:delete val="0"/>
        <c:axPos val="l"/>
        <c:majorGridlines>
          <c:spPr>
            <a:ln>
              <a:solidFill>
                <a:srgbClr val="CCCC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</a:p>
        </c:txPr>
        <c:crossAx val="1652700150"/>
      </c:valAx>
    </c:plotArea>
    <c:legend>
      <c:legendPos val="r"/>
      <c:overlay val="0"/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# de plantíos de amapola en Sinaloa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3366CC"/>
            </a:solidFill>
          </c:spPr>
          <c:cat>
            <c:strRef>
              <c:f>'# de plantíos'!$A$3:$A$22</c:f>
            </c:strRef>
          </c:cat>
          <c:val>
            <c:numRef>
              <c:f>'# de plantíos'!$B$3:$B$22</c:f>
            </c:numRef>
          </c:val>
        </c:ser>
        <c:ser>
          <c:idx val="1"/>
          <c:order val="1"/>
          <c:spPr>
            <a:solidFill>
              <a:srgbClr val="DC3912"/>
            </a:solidFill>
          </c:spPr>
          <c:cat>
            <c:strRef>
              <c:f>'# de plantíos'!$A$3:$A$22</c:f>
            </c:strRef>
          </c:cat>
          <c:val>
            <c:numRef>
              <c:f>'# de plantíos'!$C$3:$C$22</c:f>
            </c:numRef>
          </c:val>
        </c:ser>
        <c:ser>
          <c:idx val="2"/>
          <c:order val="2"/>
          <c:spPr>
            <a:solidFill>
              <a:srgbClr val="FF9900"/>
            </a:solidFill>
          </c:spPr>
          <c:cat>
            <c:strRef>
              <c:f>'# de plantíos'!$A$3:$A$22</c:f>
            </c:strRef>
          </c:cat>
          <c:val>
            <c:numRef>
              <c:f>'# de plantíos'!$D$3:$D$22</c:f>
            </c:numRef>
          </c:val>
        </c:ser>
        <c:ser>
          <c:idx val="3"/>
          <c:order val="3"/>
          <c:spPr>
            <a:solidFill>
              <a:srgbClr val="109618"/>
            </a:solidFill>
          </c:spPr>
          <c:cat>
            <c:strRef>
              <c:f>'# de plantíos'!$A$3:$A$22</c:f>
            </c:strRef>
          </c:cat>
          <c:val>
            <c:numRef>
              <c:f>'# de plantíos'!$E$3:$E$22</c:f>
            </c:numRef>
          </c:val>
        </c:ser>
        <c:ser>
          <c:idx val="4"/>
          <c:order val="4"/>
          <c:spPr>
            <a:solidFill>
              <a:srgbClr val="990099"/>
            </a:solidFill>
          </c:spPr>
          <c:cat>
            <c:strRef>
              <c:f>'# de plantíos'!$A$3:$A$22</c:f>
            </c:strRef>
          </c:cat>
          <c:val>
            <c:numRef>
              <c:f>'# de plantíos'!$F$3:$F$22</c:f>
            </c:numRef>
          </c:val>
        </c:ser>
        <c:ser>
          <c:idx val="5"/>
          <c:order val="5"/>
          <c:spPr>
            <a:solidFill>
              <a:srgbClr val="0099C6"/>
            </a:solidFill>
          </c:spPr>
          <c:cat>
            <c:strRef>
              <c:f>'# de plantíos'!$A$3:$A$22</c:f>
            </c:strRef>
          </c:cat>
          <c:val>
            <c:numRef>
              <c:f>'# de plantíos'!$G$3:$G$22</c:f>
            </c:numRef>
          </c:val>
        </c:ser>
        <c:overlap val="100"/>
        <c:axId val="1018999109"/>
        <c:axId val="160811971"/>
      </c:barChart>
      <c:catAx>
        <c:axId val="101899910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200"/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sz="1200"/>
            </a:pPr>
          </a:p>
        </c:txPr>
        <c:crossAx val="160811971"/>
      </c:catAx>
      <c:valAx>
        <c:axId val="16081197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018999109"/>
        <c:crosses val="max"/>
      </c:valAx>
    </c:plotArea>
    <c:legend>
      <c:legendPos val="r"/>
      <c:overlay val="0"/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# de plantíos de mariguana en Sinaloa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3366CC"/>
            </a:solidFill>
          </c:spPr>
          <c:cat>
            <c:strRef>
              <c:f>'# de plantíos'!$A$26:$A$45</c:f>
            </c:strRef>
          </c:cat>
          <c:val>
            <c:numRef>
              <c:f>'# de plantíos'!$B$26:$B$45</c:f>
            </c:numRef>
          </c:val>
        </c:ser>
        <c:ser>
          <c:idx val="1"/>
          <c:order val="1"/>
          <c:spPr>
            <a:solidFill>
              <a:srgbClr val="DC3912"/>
            </a:solidFill>
          </c:spPr>
          <c:cat>
            <c:strRef>
              <c:f>'# de plantíos'!$A$26:$A$45</c:f>
            </c:strRef>
          </c:cat>
          <c:val>
            <c:numRef>
              <c:f>'# de plantíos'!$C$26:$C$45</c:f>
            </c:numRef>
          </c:val>
        </c:ser>
        <c:ser>
          <c:idx val="2"/>
          <c:order val="2"/>
          <c:spPr>
            <a:solidFill>
              <a:srgbClr val="FF9900"/>
            </a:solidFill>
          </c:spPr>
          <c:cat>
            <c:strRef>
              <c:f>'# de plantíos'!$A$26:$A$45</c:f>
            </c:strRef>
          </c:cat>
          <c:val>
            <c:numRef>
              <c:f>'# de plantíos'!$D$26:$D$45</c:f>
            </c:numRef>
          </c:val>
        </c:ser>
        <c:ser>
          <c:idx val="3"/>
          <c:order val="3"/>
          <c:spPr>
            <a:solidFill>
              <a:srgbClr val="109618"/>
            </a:solidFill>
          </c:spPr>
          <c:cat>
            <c:strRef>
              <c:f>'# de plantíos'!$A$26:$A$45</c:f>
            </c:strRef>
          </c:cat>
          <c:val>
            <c:numRef>
              <c:f>'# de plantíos'!$E$26:$E$45</c:f>
            </c:numRef>
          </c:val>
        </c:ser>
        <c:ser>
          <c:idx val="4"/>
          <c:order val="4"/>
          <c:spPr>
            <a:solidFill>
              <a:srgbClr val="990099"/>
            </a:solidFill>
          </c:spPr>
          <c:cat>
            <c:strRef>
              <c:f>'# de plantíos'!$A$26:$A$45</c:f>
            </c:strRef>
          </c:cat>
          <c:val>
            <c:numRef>
              <c:f>'# de plantíos'!$F$26:$F$45</c:f>
            </c:numRef>
          </c:val>
        </c:ser>
        <c:ser>
          <c:idx val="5"/>
          <c:order val="5"/>
          <c:spPr>
            <a:solidFill>
              <a:srgbClr val="0099C6"/>
            </a:solidFill>
          </c:spPr>
          <c:cat>
            <c:strRef>
              <c:f>'# de plantíos'!$A$26:$A$45</c:f>
            </c:strRef>
          </c:cat>
          <c:val>
            <c:numRef>
              <c:f>'# de plantíos'!$G$26:$G$45</c:f>
            </c:numRef>
          </c:val>
        </c:ser>
        <c:overlap val="100"/>
        <c:axId val="672036817"/>
        <c:axId val="2103271317"/>
      </c:barChart>
      <c:catAx>
        <c:axId val="67203681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200"/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sz="1200"/>
            </a:pPr>
          </a:p>
        </c:txPr>
        <c:crossAx val="2103271317"/>
      </c:catAx>
      <c:valAx>
        <c:axId val="210327131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672036817"/>
        <c:crosses val="max"/>
      </c:valAx>
    </c:plotArea>
    <c:legend>
      <c:legendPos val="r"/>
      <c:overlay val="0"/>
    </c:legend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# de laboratorios en Sinaloa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Metanfetamina!$A$8</c:f>
            </c:strRef>
          </c:tx>
          <c:spPr>
            <a:ln cmpd="sng" w="25400">
              <a:solidFill>
                <a:srgbClr val="3366CC"/>
              </a:solidFill>
              <a:prstDash val="solid"/>
            </a:ln>
          </c:spPr>
          <c:marker>
            <c:symbol val="none"/>
          </c:marker>
          <c:cat>
            <c:strRef>
              <c:f>Metanfetamina!$B$7:$M$7</c:f>
            </c:strRef>
          </c:cat>
          <c:val>
            <c:numRef>
              <c:f>Metanfetamina!$B$8:$M$8</c:f>
            </c:numRef>
          </c:val>
          <c:smooth val="0"/>
        </c:ser>
        <c:axId val="622347957"/>
        <c:axId val="595903873"/>
      </c:lineChart>
      <c:catAx>
        <c:axId val="622347957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595903873"/>
      </c:catAx>
      <c:valAx>
        <c:axId val="5959038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/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</a:p>
        </c:txPr>
        <c:crossAx val="622347957"/>
      </c:valAx>
    </c:plotArea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Kg de metanfetamina en Sinaloa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Metanfetamina!$A$4</c:f>
            </c:strRef>
          </c:tx>
          <c:spPr>
            <a:ln cmpd="sng" w="25400">
              <a:solidFill>
                <a:srgbClr val="3366CC"/>
              </a:solidFill>
              <a:prstDash val="solid"/>
            </a:ln>
          </c:spPr>
          <c:marker>
            <c:symbol val="none"/>
          </c:marker>
          <c:cat>
            <c:strRef>
              <c:f>Metanfetamina!$B$3:$M$3</c:f>
            </c:strRef>
          </c:cat>
          <c:val>
            <c:numRef>
              <c:f>Metanfetamina!$B$4:$M$4</c:f>
            </c:numRef>
          </c:val>
          <c:smooth val="0"/>
        </c:ser>
        <c:axId val="1153435068"/>
        <c:axId val="1939112235"/>
      </c:lineChart>
      <c:catAx>
        <c:axId val="1153435068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939112235"/>
      </c:catAx>
      <c:valAx>
        <c:axId val="19391122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/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</a:p>
        </c:txPr>
        <c:crossAx val="1153435068"/>
      </c:valAx>
    </c:plotArea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Mariguana (en Has.)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'SIN vs MX'!$A$4</c:f>
            </c:strRef>
          </c:tx>
          <c:spPr>
            <a:ln cmpd="sng" w="25400">
              <a:solidFill>
                <a:srgbClr val="3366CC"/>
              </a:solidFill>
              <a:prstDash val="solid"/>
            </a:ln>
          </c:spPr>
          <c:marker>
            <c:symbol val="none"/>
          </c:marker>
          <c:cat>
            <c:strRef>
              <c:f>'SIN vs MX'!$B$3:$M$3</c:f>
            </c:strRef>
          </c:cat>
          <c:val>
            <c:numRef>
              <c:f>'SIN vs MX'!$B$4:$M$4</c:f>
            </c:numRef>
          </c:val>
          <c:smooth val="0"/>
        </c:ser>
        <c:ser>
          <c:idx val="1"/>
          <c:order val="1"/>
          <c:tx>
            <c:strRef>
              <c:f>'SIN vs MX'!$A$5</c:f>
            </c:strRef>
          </c:tx>
          <c:spPr>
            <a:ln cmpd="sng" w="25400">
              <a:solidFill>
                <a:srgbClr val="DC3912"/>
              </a:solidFill>
              <a:prstDash val="solid"/>
            </a:ln>
          </c:spPr>
          <c:marker>
            <c:symbol val="none"/>
          </c:marker>
          <c:cat>
            <c:strRef>
              <c:f>'SIN vs MX'!$B$3:$M$3</c:f>
            </c:strRef>
          </c:cat>
          <c:val>
            <c:numRef>
              <c:f>'SIN vs MX'!$B$5:$M$5</c:f>
            </c:numRef>
          </c:val>
          <c:smooth val="0"/>
        </c:ser>
        <c:axId val="600369026"/>
        <c:axId val="728381964"/>
      </c:lineChart>
      <c:catAx>
        <c:axId val="6003690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728381964"/>
      </c:catAx>
      <c:valAx>
        <c:axId val="7283819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</a:p>
        </c:txPr>
        <c:crossAx val="600369026"/>
      </c:valAx>
    </c:plotArea>
    <c:legend>
      <c:legendPos val="r"/>
      <c:overlay val="0"/>
    </c:legend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Amapola (en Has.)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'SIN vs MX'!$A$10</c:f>
            </c:strRef>
          </c:tx>
          <c:spPr>
            <a:ln cmpd="sng" w="25400">
              <a:solidFill>
                <a:srgbClr val="3366CC"/>
              </a:solidFill>
              <a:prstDash val="solid"/>
            </a:ln>
          </c:spPr>
          <c:marker>
            <c:symbol val="none"/>
          </c:marker>
          <c:cat>
            <c:strRef>
              <c:f>'SIN vs MX'!$B$9:$M$9</c:f>
            </c:strRef>
          </c:cat>
          <c:val>
            <c:numRef>
              <c:f>'SIN vs MX'!$B$10:$M$10</c:f>
            </c:numRef>
          </c:val>
          <c:smooth val="0"/>
        </c:ser>
        <c:ser>
          <c:idx val="1"/>
          <c:order val="1"/>
          <c:tx>
            <c:strRef>
              <c:f>'SIN vs MX'!$A$11</c:f>
            </c:strRef>
          </c:tx>
          <c:spPr>
            <a:ln cmpd="sng" w="25400">
              <a:solidFill>
                <a:srgbClr val="DC3912"/>
              </a:solidFill>
              <a:prstDash val="solid"/>
            </a:ln>
          </c:spPr>
          <c:marker>
            <c:symbol val="none"/>
          </c:marker>
          <c:cat>
            <c:strRef>
              <c:f>'SIN vs MX'!$B$9:$M$9</c:f>
            </c:strRef>
          </c:cat>
          <c:val>
            <c:numRef>
              <c:f>'SIN vs MX'!$B$11:$M$11</c:f>
            </c:numRef>
          </c:val>
          <c:smooth val="0"/>
        </c:ser>
        <c:axId val="212358986"/>
        <c:axId val="461611820"/>
      </c:lineChart>
      <c:catAx>
        <c:axId val="2123589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461611820"/>
      </c:catAx>
      <c:valAx>
        <c:axId val="4616118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</a:p>
        </c:txPr>
        <c:crossAx val="212358986"/>
      </c:valAx>
    </c:plotArea>
    <c:legend>
      <c:legendPos val="r"/>
      <c:overlay val="0"/>
    </c:legend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# de laboratorios clandestinos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 w="25400">
              <a:solidFill>
                <a:srgbClr val="3366CC"/>
              </a:solidFill>
              <a:prstDash val="solid"/>
            </a:ln>
          </c:spPr>
          <c:marker>
            <c:symbol val="none"/>
          </c:marker>
          <c:cat>
            <c:strRef>
              <c:f>'SIN vs MX'!$A$34:$L$34</c:f>
            </c:strRef>
          </c:cat>
          <c:val>
            <c:numRef>
              <c:f>'SIN vs MX'!$A$35:$L$35</c:f>
            </c:numRef>
          </c:val>
          <c:smooth val="0"/>
        </c:ser>
        <c:ser>
          <c:idx val="1"/>
          <c:order val="1"/>
          <c:spPr>
            <a:ln cmpd="sng" w="25400">
              <a:solidFill>
                <a:srgbClr val="DC3912"/>
              </a:solidFill>
              <a:prstDash val="solid"/>
            </a:ln>
          </c:spPr>
          <c:marker>
            <c:symbol val="none"/>
          </c:marker>
          <c:cat>
            <c:strRef>
              <c:f>'SIN vs MX'!$A$34:$L$34</c:f>
            </c:strRef>
          </c:cat>
          <c:val>
            <c:numRef>
              <c:f>'SIN vs MX'!$A$36:$L$36</c:f>
            </c:numRef>
          </c:val>
          <c:smooth val="0"/>
        </c:ser>
        <c:axId val="2077008693"/>
        <c:axId val="893028608"/>
      </c:lineChart>
      <c:catAx>
        <c:axId val="2077008693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893028608"/>
      </c:catAx>
      <c:valAx>
        <c:axId val="8930286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</a:p>
        </c:txPr>
        <c:crossAx val="2077008693"/>
      </c:valAx>
    </c:plotArea>
    <c:legend>
      <c:legendPos val="r"/>
      <c:overlay val="0"/>
    </c:legend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Kilogramos de metanfetamina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'SIN vs MX'!$A$41</c:f>
            </c:strRef>
          </c:tx>
          <c:spPr>
            <a:ln cmpd="sng" w="25400">
              <a:solidFill>
                <a:srgbClr val="3366CC"/>
              </a:solidFill>
              <a:prstDash val="solid"/>
            </a:ln>
          </c:spPr>
          <c:marker>
            <c:symbol val="none"/>
          </c:marker>
          <c:cat>
            <c:strRef>
              <c:f>'SIN vs MX'!$B$40:$L$40</c:f>
            </c:strRef>
          </c:cat>
          <c:val>
            <c:numRef>
              <c:f>'SIN vs MX'!$B$41:$L$41</c:f>
            </c:numRef>
          </c:val>
          <c:smooth val="0"/>
        </c:ser>
        <c:ser>
          <c:idx val="1"/>
          <c:order val="1"/>
          <c:tx>
            <c:strRef>
              <c:f>'SIN vs MX'!$A$42</c:f>
            </c:strRef>
          </c:tx>
          <c:spPr>
            <a:ln cmpd="sng" w="25400">
              <a:solidFill>
                <a:srgbClr val="DC3912"/>
              </a:solidFill>
              <a:prstDash val="solid"/>
            </a:ln>
          </c:spPr>
          <c:marker>
            <c:symbol val="none"/>
          </c:marker>
          <c:cat>
            <c:strRef>
              <c:f>'SIN vs MX'!$B$40:$L$40</c:f>
            </c:strRef>
          </c:cat>
          <c:val>
            <c:numRef>
              <c:f>'SIN vs MX'!$B$42:$L$42</c:f>
            </c:numRef>
          </c:val>
          <c:smooth val="0"/>
        </c:ser>
        <c:axId val="1261190333"/>
        <c:axId val="1187772531"/>
      </c:lineChart>
      <c:catAx>
        <c:axId val="12611903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1187772531"/>
      </c:catAx>
      <c:valAx>
        <c:axId val="11877725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</a:p>
        </c:txPr>
        <c:crossAx val="1261190333"/>
      </c:valAx>
    </c:plotArea>
    <c:legend>
      <c:legendPos val="r"/>
      <c:overlay val="0"/>
    </c:legend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0</xdr:row>
      <xdr:rowOff>0</xdr:rowOff>
    </xdr:from>
    <xdr:to>
      <xdr:col>13</xdr:col>
      <xdr:colOff>28575</xdr:colOff>
      <xdr:row>27</xdr:row>
      <xdr:rowOff>133350</xdr:rowOff>
    </xdr:to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0</xdr:col>
      <xdr:colOff>0</xdr:colOff>
      <xdr:row>50</xdr:row>
      <xdr:rowOff>76200</xdr:rowOff>
    </xdr:from>
    <xdr:to>
      <xdr:col>13</xdr:col>
      <xdr:colOff>0</xdr:colOff>
      <xdr:row>72</xdr:row>
      <xdr:rowOff>123825</xdr:rowOff>
    </xdr:to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0</xdr:col>
      <xdr:colOff>0</xdr:colOff>
      <xdr:row>27</xdr:row>
      <xdr:rowOff>161925</xdr:rowOff>
    </xdr:from>
    <xdr:to>
      <xdr:col>13</xdr:col>
      <xdr:colOff>9525</xdr:colOff>
      <xdr:row>50</xdr:row>
      <xdr:rowOff>38100</xdr:rowOff>
    </xdr:to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  <xdr:twoCellAnchor>
    <xdr:from>
      <xdr:col>0</xdr:col>
      <xdr:colOff>0</xdr:colOff>
      <xdr:row>76</xdr:row>
      <xdr:rowOff>66675</xdr:rowOff>
    </xdr:from>
    <xdr:to>
      <xdr:col>12</xdr:col>
      <xdr:colOff>914400</xdr:colOff>
      <xdr:row>99</xdr:row>
      <xdr:rowOff>28575</xdr:rowOff>
    </xdr:to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twoCellAnchor>
  <xdr:twoCellAnchor>
    <xdr:from>
      <xdr:col>0</xdr:col>
      <xdr:colOff>0</xdr:colOff>
      <xdr:row>99</xdr:row>
      <xdr:rowOff>76200</xdr:rowOff>
    </xdr:from>
    <xdr:to>
      <xdr:col>12</xdr:col>
      <xdr:colOff>876300</xdr:colOff>
      <xdr:row>126</xdr:row>
      <xdr:rowOff>190500</xdr:rowOff>
    </xdr:to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13</xdr:row>
      <xdr:rowOff>0</xdr:rowOff>
    </xdr:from>
    <xdr:to>
      <xdr:col>8</xdr:col>
      <xdr:colOff>200025</xdr:colOff>
      <xdr:row>30</xdr:row>
      <xdr:rowOff>133350</xdr:rowOff>
    </xdr:to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6</xdr:col>
      <xdr:colOff>523875</xdr:colOff>
      <xdr:row>12</xdr:row>
      <xdr:rowOff>190500</xdr:rowOff>
    </xdr:from>
    <xdr:to>
      <xdr:col>15</xdr:col>
      <xdr:colOff>381000</xdr:colOff>
      <xdr:row>30</xdr:row>
      <xdr:rowOff>123825</xdr:rowOff>
    </xdr:to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0</xdr:col>
      <xdr:colOff>0</xdr:colOff>
      <xdr:row>44</xdr:row>
      <xdr:rowOff>38100</xdr:rowOff>
    </xdr:from>
    <xdr:to>
      <xdr:col>8</xdr:col>
      <xdr:colOff>200025</xdr:colOff>
      <xdr:row>61</xdr:row>
      <xdr:rowOff>171450</xdr:rowOff>
    </xdr:to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  <xdr:twoCellAnchor>
    <xdr:from>
      <xdr:col>6</xdr:col>
      <xdr:colOff>571500</xdr:colOff>
      <xdr:row>44</xdr:row>
      <xdr:rowOff>38100</xdr:rowOff>
    </xdr:from>
    <xdr:to>
      <xdr:col>15</xdr:col>
      <xdr:colOff>428625</xdr:colOff>
      <xdr:row>61</xdr:row>
      <xdr:rowOff>171450</xdr:rowOff>
    </xdr:to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/>
  </sheetPr>
  <sheetViews>
    <sheetView workbookViewId="0"/>
  </sheetViews>
  <sheetFormatPr customHeight="1" defaultColWidth="14.43" defaultRowHeight="15.75"/>
  <cols>
    <col customWidth="1" min="1" max="1" width="29.14"/>
    <col customWidth="1" min="2" max="8" width="8.86"/>
    <col customWidth="1" min="9" max="10" width="7.86"/>
    <col customWidth="1" min="11" max="12" width="8.86"/>
    <col customWidth="1" min="13" max="13" width="5.29"/>
  </cols>
  <sheetData>
    <row r="1">
      <c r="A1" s="1" t="s">
        <v>1</v>
      </c>
    </row>
    <row r="3">
      <c r="B3" s="3">
        <v>2006.0</v>
      </c>
      <c r="C3" s="3">
        <v>2007.0</v>
      </c>
      <c r="D3" s="3">
        <v>2008.0</v>
      </c>
      <c r="E3" s="3">
        <v>2009.0</v>
      </c>
      <c r="F3" s="3">
        <v>2010.0</v>
      </c>
      <c r="G3" s="3">
        <v>2011.0</v>
      </c>
      <c r="H3" s="5">
        <v>2012.0</v>
      </c>
      <c r="I3" s="5">
        <v>2013.0</v>
      </c>
      <c r="J3" s="5">
        <v>2014.0</v>
      </c>
      <c r="K3" s="5">
        <v>2015.0</v>
      </c>
      <c r="L3" s="5">
        <v>2016.0</v>
      </c>
      <c r="M3" s="3">
        <v>2017.0</v>
      </c>
    </row>
    <row r="4">
      <c r="A4" s="3" t="s">
        <v>4</v>
      </c>
      <c r="B4" s="6">
        <v>13.95</v>
      </c>
      <c r="C4" s="7">
        <v>8.86</v>
      </c>
      <c r="D4" s="7">
        <v>9.87</v>
      </c>
      <c r="E4" s="7">
        <v>1831.07</v>
      </c>
      <c r="F4" s="7">
        <v>3162.29</v>
      </c>
      <c r="G4" s="7">
        <v>9763.34</v>
      </c>
      <c r="H4" s="7">
        <v>11441.02</v>
      </c>
      <c r="I4" s="7">
        <v>4741.38</v>
      </c>
      <c r="J4" s="7">
        <v>9730.7</v>
      </c>
      <c r="K4" s="7">
        <v>17723.03</v>
      </c>
      <c r="L4" s="7">
        <v>11804.13</v>
      </c>
      <c r="M4" s="7" t="s">
        <v>5</v>
      </c>
      <c r="N4" s="9"/>
      <c r="O4" s="10"/>
    </row>
    <row r="7">
      <c r="B7" s="5">
        <v>2006.0</v>
      </c>
      <c r="C7" s="5">
        <v>2007.0</v>
      </c>
      <c r="D7" s="5">
        <v>2008.0</v>
      </c>
      <c r="E7" s="5">
        <v>2009.0</v>
      </c>
      <c r="F7" s="5">
        <v>2010.0</v>
      </c>
      <c r="G7" s="3">
        <v>2011.0</v>
      </c>
      <c r="H7" s="5">
        <v>2012.0</v>
      </c>
      <c r="I7" s="5">
        <v>2013.0</v>
      </c>
      <c r="J7" s="5">
        <v>2014.0</v>
      </c>
      <c r="K7" s="5">
        <v>2015.0</v>
      </c>
      <c r="L7" s="5">
        <v>2016.0</v>
      </c>
      <c r="M7" s="3">
        <v>2017.0</v>
      </c>
    </row>
    <row r="8">
      <c r="A8" s="3" t="s">
        <v>13</v>
      </c>
      <c r="B8" s="12">
        <v>1.0</v>
      </c>
      <c r="C8" s="12">
        <v>9.0</v>
      </c>
      <c r="D8" s="12">
        <v>9.0</v>
      </c>
      <c r="E8" s="12">
        <v>12.0</v>
      </c>
      <c r="F8" s="12">
        <v>31.0</v>
      </c>
      <c r="G8" s="12">
        <v>82.0</v>
      </c>
      <c r="H8" s="12">
        <v>80.0</v>
      </c>
      <c r="I8" s="12">
        <v>37.0</v>
      </c>
      <c r="J8" s="12">
        <v>46.0</v>
      </c>
      <c r="K8" s="12">
        <v>76.0</v>
      </c>
      <c r="L8" s="12">
        <v>66.0</v>
      </c>
      <c r="M8" s="14" t="s">
        <v>5</v>
      </c>
      <c r="N8" s="10"/>
      <c r="O8" s="10"/>
    </row>
  </sheetData>
  <mergeCells count="1">
    <mergeCell ref="A1:M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/>
  </sheetPr>
  <sheetViews>
    <sheetView workbookViewId="0"/>
  </sheetViews>
  <sheetFormatPr customHeight="1" defaultColWidth="14.43" defaultRowHeight="15.75"/>
  <cols>
    <col customWidth="1" min="1" max="1" width="33.57"/>
    <col customWidth="1" min="2" max="7" width="10.29"/>
    <col customWidth="1" min="8" max="8" width="8.86"/>
    <col customWidth="1" min="9" max="10" width="7.86"/>
    <col customWidth="1" min="11" max="12" width="8.86"/>
    <col customWidth="1" min="13" max="13" width="9.14"/>
  </cols>
  <sheetData>
    <row r="1">
      <c r="A1" s="1" t="s">
        <v>0</v>
      </c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>
      <c r="A2" s="1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>
      <c r="A3" s="16"/>
      <c r="B3" s="3">
        <v>2006.0</v>
      </c>
      <c r="C3" s="3">
        <v>2007.0</v>
      </c>
      <c r="D3" s="3">
        <v>2008.0</v>
      </c>
      <c r="E3" s="3">
        <v>2009.0</v>
      </c>
      <c r="F3" s="3">
        <v>2010.0</v>
      </c>
      <c r="G3" s="3">
        <v>2011.0</v>
      </c>
      <c r="H3" s="5">
        <v>2012.0</v>
      </c>
      <c r="I3" s="5">
        <v>2013.0</v>
      </c>
      <c r="J3" s="5">
        <v>2014.0</v>
      </c>
      <c r="K3" s="5">
        <v>2015.0</v>
      </c>
      <c r="L3" s="5">
        <v>2016.0</v>
      </c>
      <c r="M3" s="5">
        <v>2017.0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3" t="s">
        <v>14</v>
      </c>
      <c r="B4" s="17">
        <v>4556.6763</v>
      </c>
      <c r="C4" s="17">
        <v>8576.6189</v>
      </c>
      <c r="D4" s="17">
        <v>8806.0054</v>
      </c>
      <c r="E4" s="17">
        <v>6595.8683</v>
      </c>
      <c r="F4" s="17">
        <v>6182.6873</v>
      </c>
      <c r="G4" s="17">
        <v>3672.3303</v>
      </c>
      <c r="H4" s="17">
        <v>1996.6443</v>
      </c>
      <c r="I4" s="17">
        <v>1428.9932</v>
      </c>
      <c r="J4" s="17">
        <v>1948.1441</v>
      </c>
      <c r="K4" s="17">
        <v>1970.9571</v>
      </c>
      <c r="L4" s="17">
        <v>2430.0578</v>
      </c>
      <c r="M4" s="17">
        <f>707.748*3</f>
        <v>2123.244</v>
      </c>
      <c r="N4" s="9"/>
    </row>
    <row r="5">
      <c r="A5" s="3" t="s">
        <v>15</v>
      </c>
      <c r="B5" s="17">
        <v>405.6407</v>
      </c>
      <c r="C5" s="17">
        <v>543.6914</v>
      </c>
      <c r="D5" s="17">
        <v>1439.7029</v>
      </c>
      <c r="E5" s="17">
        <v>1044.6749</v>
      </c>
      <c r="F5" s="17">
        <v>1366.829</v>
      </c>
      <c r="G5" s="17">
        <v>544.711</v>
      </c>
      <c r="H5" s="17">
        <v>1281.5984</v>
      </c>
      <c r="I5" s="17">
        <v>957.0156</v>
      </c>
      <c r="J5" s="17">
        <v>3151.9844</v>
      </c>
      <c r="K5" s="17">
        <v>2966.0948</v>
      </c>
      <c r="L5" s="17">
        <v>3012.8598</v>
      </c>
      <c r="M5" s="17">
        <f>2798.4439*3</f>
        <v>8395.3317</v>
      </c>
      <c r="N5" s="9"/>
      <c r="O5" s="10"/>
    </row>
    <row r="6">
      <c r="A6" s="20"/>
      <c r="B6" s="20"/>
      <c r="C6" s="20"/>
      <c r="D6" s="20"/>
      <c r="E6" s="20"/>
      <c r="F6" s="20"/>
      <c r="G6" s="20"/>
      <c r="H6" s="21"/>
      <c r="I6" s="21"/>
      <c r="J6" s="21"/>
      <c r="K6" s="21"/>
      <c r="L6" s="21"/>
      <c r="M6" s="21"/>
    </row>
    <row r="7">
      <c r="A7" s="22"/>
      <c r="B7" s="22"/>
      <c r="C7" s="22"/>
      <c r="D7" s="22"/>
      <c r="E7" s="22"/>
      <c r="F7" s="22"/>
      <c r="G7" s="22"/>
      <c r="H7" s="22"/>
      <c r="I7" s="23"/>
      <c r="M7" s="24"/>
    </row>
    <row r="8">
      <c r="A8" s="22"/>
      <c r="B8" s="22"/>
      <c r="C8" s="22"/>
      <c r="D8" s="22"/>
      <c r="E8" s="22"/>
      <c r="F8" s="22"/>
      <c r="G8" s="22"/>
      <c r="H8" s="22"/>
      <c r="I8" s="23"/>
      <c r="L8" s="25"/>
      <c r="M8" s="10"/>
    </row>
    <row r="15">
      <c r="A15" s="26"/>
      <c r="B15" s="26"/>
      <c r="C15" s="26"/>
      <c r="D15" s="26"/>
      <c r="E15" s="26"/>
      <c r="F15" s="26"/>
      <c r="G15" s="26"/>
      <c r="H15" s="27"/>
      <c r="I15" s="27"/>
      <c r="J15" s="27"/>
      <c r="K15" s="27"/>
      <c r="L15" s="27"/>
      <c r="M15" s="27"/>
    </row>
  </sheetData>
  <mergeCells count="1">
    <mergeCell ref="A1:M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17.43"/>
  </cols>
  <sheetData>
    <row r="1">
      <c r="B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8" t="s">
        <v>3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2"/>
      <c r="I4" s="4" t="s">
        <v>11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1" t="s">
        <v>12</v>
      </c>
      <c r="B5" s="13">
        <v>0.0</v>
      </c>
      <c r="C5" s="13">
        <v>0.0</v>
      </c>
      <c r="D5" s="13">
        <v>0.0</v>
      </c>
      <c r="E5" s="13">
        <v>0.0</v>
      </c>
      <c r="F5" s="13">
        <v>0.0</v>
      </c>
      <c r="G5" s="13">
        <v>0.0</v>
      </c>
      <c r="H5" s="18">
        <f t="shared" ref="H5:H22" si="1">SUM(B5:G5)</f>
        <v>0</v>
      </c>
      <c r="I5" s="19">
        <f t="shared" ref="I5:I22" si="2">H5/$I$23</f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1" t="s">
        <v>16</v>
      </c>
      <c r="B6" s="13">
        <v>0.0</v>
      </c>
      <c r="C6" s="13">
        <v>0.0</v>
      </c>
      <c r="D6" s="13">
        <v>0.0</v>
      </c>
      <c r="E6" s="13">
        <v>0.0</v>
      </c>
      <c r="F6" s="13">
        <v>0.0</v>
      </c>
      <c r="G6" s="13">
        <f>46*3</f>
        <v>138</v>
      </c>
      <c r="H6" s="18">
        <f t="shared" si="1"/>
        <v>138</v>
      </c>
      <c r="I6" s="19">
        <f t="shared" si="2"/>
        <v>0.001136719329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1" t="s">
        <v>17</v>
      </c>
      <c r="B7" s="13">
        <v>4112.0</v>
      </c>
      <c r="C7" s="13">
        <v>2422.0</v>
      </c>
      <c r="D7" s="13">
        <v>11327.0</v>
      </c>
      <c r="E7" s="13">
        <v>10743.0</v>
      </c>
      <c r="F7" s="13">
        <v>12234.0</v>
      </c>
      <c r="G7" s="13">
        <f>12434*3</f>
        <v>37302</v>
      </c>
      <c r="H7" s="18">
        <f t="shared" si="1"/>
        <v>78140</v>
      </c>
      <c r="I7" s="19">
        <f t="shared" si="2"/>
        <v>0.6436467274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1" t="s">
        <v>18</v>
      </c>
      <c r="B8" s="13">
        <v>337.0</v>
      </c>
      <c r="C8" s="13">
        <v>407.0</v>
      </c>
      <c r="D8" s="13">
        <v>2310.0</v>
      </c>
      <c r="E8" s="13">
        <v>1573.0</v>
      </c>
      <c r="F8" s="13">
        <v>2701.0</v>
      </c>
      <c r="G8" s="13">
        <f>1714*3</f>
        <v>5142</v>
      </c>
      <c r="H8" s="18">
        <f t="shared" si="1"/>
        <v>12470</v>
      </c>
      <c r="I8" s="19">
        <f t="shared" si="2"/>
        <v>0.1027165945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1" t="s">
        <v>19</v>
      </c>
      <c r="B9" s="13">
        <v>82.0</v>
      </c>
      <c r="C9" s="13">
        <v>29.0</v>
      </c>
      <c r="D9" s="13">
        <v>381.0</v>
      </c>
      <c r="E9" s="13">
        <v>459.0</v>
      </c>
      <c r="F9" s="13">
        <v>1000.0</v>
      </c>
      <c r="G9" s="13">
        <f>352*3</f>
        <v>1056</v>
      </c>
      <c r="H9" s="18">
        <f t="shared" si="1"/>
        <v>3007</v>
      </c>
      <c r="I9" s="19">
        <f t="shared" si="2"/>
        <v>0.02476894944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1" t="s">
        <v>20</v>
      </c>
      <c r="B10" s="13">
        <v>44.0</v>
      </c>
      <c r="C10" s="13">
        <v>55.0</v>
      </c>
      <c r="D10" s="13">
        <v>41.0</v>
      </c>
      <c r="E10" s="13">
        <v>290.0</v>
      </c>
      <c r="F10" s="13">
        <v>540.0</v>
      </c>
      <c r="G10" s="13">
        <f>473*3</f>
        <v>1419</v>
      </c>
      <c r="H10" s="18">
        <f t="shared" si="1"/>
        <v>2389</v>
      </c>
      <c r="I10" s="19">
        <f t="shared" si="2"/>
        <v>0.01967842375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1" t="s">
        <v>21</v>
      </c>
      <c r="B11" s="13">
        <v>983.0</v>
      </c>
      <c r="C11" s="13">
        <v>2004.0</v>
      </c>
      <c r="D11" s="13">
        <v>2406.0</v>
      </c>
      <c r="E11" s="13">
        <v>503.0</v>
      </c>
      <c r="F11" s="13">
        <v>237.0</v>
      </c>
      <c r="G11" s="13">
        <f>173*3</f>
        <v>519</v>
      </c>
      <c r="H11" s="18">
        <f t="shared" si="1"/>
        <v>6652</v>
      </c>
      <c r="I11" s="19">
        <f t="shared" si="2"/>
        <v>0.0547931665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1" t="s">
        <v>22</v>
      </c>
      <c r="B12" s="13">
        <v>28.0</v>
      </c>
      <c r="C12" s="13">
        <v>20.0</v>
      </c>
      <c r="D12" s="13">
        <v>170.0</v>
      </c>
      <c r="E12" s="13">
        <v>0.0</v>
      </c>
      <c r="F12" s="13">
        <v>12.0</v>
      </c>
      <c r="G12" s="13">
        <f>13*3</f>
        <v>39</v>
      </c>
      <c r="H12" s="18">
        <f t="shared" si="1"/>
        <v>269</v>
      </c>
      <c r="I12" s="19">
        <f t="shared" si="2"/>
        <v>0.002215778982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1" t="s">
        <v>23</v>
      </c>
      <c r="B13" s="13">
        <v>114.0</v>
      </c>
      <c r="C13" s="13">
        <v>0.0</v>
      </c>
      <c r="D13" s="13">
        <v>133.0</v>
      </c>
      <c r="E13" s="13">
        <v>15.0</v>
      </c>
      <c r="F13" s="13">
        <v>102.0</v>
      </c>
      <c r="G13" s="13">
        <f>46*3</f>
        <v>138</v>
      </c>
      <c r="H13" s="18">
        <f t="shared" si="1"/>
        <v>502</v>
      </c>
      <c r="I13" s="19">
        <f t="shared" si="2"/>
        <v>0.004135022487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1" t="s">
        <v>24</v>
      </c>
      <c r="B14" s="13">
        <v>0.0</v>
      </c>
      <c r="C14" s="13">
        <v>0.0</v>
      </c>
      <c r="D14" s="13">
        <v>0.0</v>
      </c>
      <c r="E14" s="13">
        <v>26.0</v>
      </c>
      <c r="F14" s="13">
        <v>3.0</v>
      </c>
      <c r="G14" s="13">
        <f>2*3</f>
        <v>6</v>
      </c>
      <c r="H14" s="18">
        <f t="shared" si="1"/>
        <v>35</v>
      </c>
      <c r="I14" s="19">
        <f t="shared" si="2"/>
        <v>0.0002882983806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1" t="s">
        <v>25</v>
      </c>
      <c r="B15" s="13">
        <v>0.0</v>
      </c>
      <c r="C15" s="13">
        <v>1.0</v>
      </c>
      <c r="D15" s="13">
        <v>0.0</v>
      </c>
      <c r="E15" s="13">
        <v>1.0</v>
      </c>
      <c r="F15" s="13">
        <v>7.0</v>
      </c>
      <c r="G15" s="13">
        <v>0.0</v>
      </c>
      <c r="H15" s="18">
        <f t="shared" si="1"/>
        <v>9</v>
      </c>
      <c r="I15" s="19">
        <f t="shared" si="2"/>
        <v>0.00007413386929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1" t="s">
        <v>26</v>
      </c>
      <c r="B16" s="13">
        <v>127.0</v>
      </c>
      <c r="C16" s="13">
        <v>1.0</v>
      </c>
      <c r="D16" s="13">
        <v>0.0</v>
      </c>
      <c r="E16" s="13">
        <v>0.0</v>
      </c>
      <c r="F16" s="13">
        <v>0.0</v>
      </c>
      <c r="G16" s="13">
        <v>0.0</v>
      </c>
      <c r="H16" s="18">
        <f t="shared" si="1"/>
        <v>128</v>
      </c>
      <c r="I16" s="19">
        <f t="shared" si="2"/>
        <v>0.001054348363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1" t="s">
        <v>27</v>
      </c>
      <c r="B17" s="13">
        <v>13.0</v>
      </c>
      <c r="C17" s="13">
        <v>20.0</v>
      </c>
      <c r="D17" s="13">
        <v>75.0</v>
      </c>
      <c r="E17" s="13">
        <v>55.0</v>
      </c>
      <c r="F17" s="13">
        <v>21.0</v>
      </c>
      <c r="G17" s="13">
        <f>2*3</f>
        <v>6</v>
      </c>
      <c r="H17" s="18">
        <f t="shared" si="1"/>
        <v>190</v>
      </c>
      <c r="I17" s="19">
        <f t="shared" si="2"/>
        <v>0.001565048352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1" t="s">
        <v>28</v>
      </c>
      <c r="B18" s="13">
        <v>46.0</v>
      </c>
      <c r="C18" s="13">
        <v>79.0</v>
      </c>
      <c r="D18" s="13">
        <v>71.0</v>
      </c>
      <c r="E18" s="13">
        <v>718.0</v>
      </c>
      <c r="F18" s="13">
        <v>362.0</v>
      </c>
      <c r="G18" s="13">
        <f>1541*3</f>
        <v>4623</v>
      </c>
      <c r="H18" s="18">
        <f t="shared" si="1"/>
        <v>5899</v>
      </c>
      <c r="I18" s="19">
        <f t="shared" si="2"/>
        <v>0.04859063277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1" t="s">
        <v>29</v>
      </c>
      <c r="B19" s="13">
        <v>10.0</v>
      </c>
      <c r="C19" s="13">
        <v>0.0</v>
      </c>
      <c r="D19" s="13">
        <v>8.0</v>
      </c>
      <c r="E19" s="13">
        <v>19.0</v>
      </c>
      <c r="F19" s="13">
        <v>0.0</v>
      </c>
      <c r="G19" s="13">
        <v>0.0</v>
      </c>
      <c r="H19" s="18">
        <f t="shared" si="1"/>
        <v>37</v>
      </c>
      <c r="I19" s="19">
        <f t="shared" si="2"/>
        <v>0.0003047725738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1" t="s">
        <v>30</v>
      </c>
      <c r="B20" s="13">
        <v>43.0</v>
      </c>
      <c r="C20" s="13">
        <v>9.0</v>
      </c>
      <c r="D20" s="13">
        <v>133.0</v>
      </c>
      <c r="E20" s="13">
        <v>71.0</v>
      </c>
      <c r="F20" s="13">
        <v>10.0</v>
      </c>
      <c r="G20" s="13">
        <f>30*3</f>
        <v>90</v>
      </c>
      <c r="H20" s="18">
        <f t="shared" si="1"/>
        <v>356</v>
      </c>
      <c r="I20" s="19">
        <f t="shared" si="2"/>
        <v>0.002932406385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1" t="s">
        <v>31</v>
      </c>
      <c r="B21" s="13">
        <v>258.0</v>
      </c>
      <c r="C21" s="13">
        <v>85.0</v>
      </c>
      <c r="D21" s="13">
        <v>402.0</v>
      </c>
      <c r="E21" s="13">
        <v>158.0</v>
      </c>
      <c r="F21" s="13">
        <v>77.0</v>
      </c>
      <c r="G21" s="13">
        <f>840*3</f>
        <v>2520</v>
      </c>
      <c r="H21" s="18">
        <f t="shared" si="1"/>
        <v>3500</v>
      </c>
      <c r="I21" s="19">
        <f t="shared" si="2"/>
        <v>0.02882983806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1" t="s">
        <v>32</v>
      </c>
      <c r="B22" s="13">
        <v>680.0</v>
      </c>
      <c r="C22" s="13">
        <v>173.0</v>
      </c>
      <c r="D22" s="13">
        <v>241.0</v>
      </c>
      <c r="E22" s="13">
        <v>1043.0</v>
      </c>
      <c r="F22" s="13">
        <v>762.0</v>
      </c>
      <c r="G22" s="13">
        <f>1594*3</f>
        <v>4782</v>
      </c>
      <c r="H22" s="18">
        <f t="shared" si="1"/>
        <v>7681</v>
      </c>
      <c r="I22" s="19">
        <f t="shared" si="2"/>
        <v>0.06326913889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18">
        <f t="shared" ref="B23:G23" si="3">SUM(B5:B22)</f>
        <v>6877</v>
      </c>
      <c r="C23" s="18">
        <f t="shared" si="3"/>
        <v>5305</v>
      </c>
      <c r="D23" s="18">
        <f t="shared" si="3"/>
        <v>17698</v>
      </c>
      <c r="E23" s="18">
        <f t="shared" si="3"/>
        <v>15674</v>
      </c>
      <c r="F23" s="18">
        <f t="shared" si="3"/>
        <v>18068</v>
      </c>
      <c r="G23" s="18">
        <f t="shared" si="3"/>
        <v>57780</v>
      </c>
      <c r="H23" s="28"/>
      <c r="I23" s="29">
        <f>SUM(H5:H22)</f>
        <v>121402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4" t="s">
        <v>33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30">
        <v>2012.0</v>
      </c>
      <c r="C27" s="30">
        <v>2013.0</v>
      </c>
      <c r="D27" s="30">
        <v>2014.0</v>
      </c>
      <c r="E27" s="30">
        <v>2015.0</v>
      </c>
      <c r="F27" s="30">
        <v>2016.0</v>
      </c>
      <c r="G27" s="30">
        <v>2017.0</v>
      </c>
      <c r="H27" s="2"/>
      <c r="I27" s="4" t="s">
        <v>11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1" t="s">
        <v>12</v>
      </c>
      <c r="B28" s="13">
        <v>0.0</v>
      </c>
      <c r="C28" s="13">
        <v>0.0</v>
      </c>
      <c r="D28" s="13">
        <v>0.0</v>
      </c>
      <c r="E28" s="13">
        <v>10.0</v>
      </c>
      <c r="F28" s="13">
        <v>1.0</v>
      </c>
      <c r="G28" s="31">
        <v>0.0</v>
      </c>
      <c r="H28" s="18">
        <f t="shared" ref="H28:H45" si="4">SUM(B28:G28)</f>
        <v>11</v>
      </c>
      <c r="I28" s="19">
        <f t="shared" ref="I28:I45" si="5">H28/$I$46</f>
        <v>0.0001512505672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1" t="s">
        <v>16</v>
      </c>
      <c r="B29" s="13">
        <v>0.0</v>
      </c>
      <c r="C29" s="13">
        <v>0.0</v>
      </c>
      <c r="D29" s="13">
        <v>0.0</v>
      </c>
      <c r="E29" s="13">
        <v>0.0</v>
      </c>
      <c r="F29" s="13">
        <v>0.0</v>
      </c>
      <c r="G29" s="31">
        <f>1*3</f>
        <v>3</v>
      </c>
      <c r="H29" s="18">
        <f t="shared" si="4"/>
        <v>3</v>
      </c>
      <c r="I29" s="19">
        <f t="shared" si="5"/>
        <v>0.00004125015469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1" t="s">
        <v>17</v>
      </c>
      <c r="B30" s="13">
        <v>3886.0</v>
      </c>
      <c r="C30" s="13">
        <v>2034.0</v>
      </c>
      <c r="D30" s="13">
        <v>5873.0</v>
      </c>
      <c r="E30" s="13">
        <v>6552.0</v>
      </c>
      <c r="F30" s="13">
        <v>6104.0</v>
      </c>
      <c r="G30" s="31">
        <f>1091*3</f>
        <v>3273</v>
      </c>
      <c r="H30" s="18">
        <f t="shared" si="4"/>
        <v>27722</v>
      </c>
      <c r="I30" s="19">
        <f t="shared" si="5"/>
        <v>0.3811789294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1" t="s">
        <v>18</v>
      </c>
      <c r="B31" s="13">
        <v>1936.0</v>
      </c>
      <c r="C31" s="13">
        <v>1289.0</v>
      </c>
      <c r="D31" s="13">
        <v>2095.0</v>
      </c>
      <c r="E31" s="13">
        <v>3001.0</v>
      </c>
      <c r="F31" s="13">
        <v>3504.0</v>
      </c>
      <c r="G31" s="31">
        <f>186*3</f>
        <v>558</v>
      </c>
      <c r="H31" s="18">
        <f t="shared" si="4"/>
        <v>12383</v>
      </c>
      <c r="I31" s="19">
        <f t="shared" si="5"/>
        <v>0.1702668885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1" t="s">
        <v>19</v>
      </c>
      <c r="B32" s="13">
        <v>319.0</v>
      </c>
      <c r="C32" s="13">
        <v>81.0</v>
      </c>
      <c r="D32" s="13">
        <v>330.0</v>
      </c>
      <c r="E32" s="13">
        <v>676.0</v>
      </c>
      <c r="F32" s="13">
        <v>1068.0</v>
      </c>
      <c r="G32" s="31">
        <f>147*3</f>
        <v>441</v>
      </c>
      <c r="H32" s="18">
        <f t="shared" si="4"/>
        <v>2915</v>
      </c>
      <c r="I32" s="19">
        <f t="shared" si="5"/>
        <v>0.04008140031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1" t="s">
        <v>20</v>
      </c>
      <c r="B33" s="13">
        <v>109.0</v>
      </c>
      <c r="C33" s="13">
        <v>243.0</v>
      </c>
      <c r="D33" s="13">
        <v>177.0</v>
      </c>
      <c r="E33" s="13">
        <v>379.0</v>
      </c>
      <c r="F33" s="13">
        <v>1836.0</v>
      </c>
      <c r="G33" s="31">
        <f>1137*3</f>
        <v>3411</v>
      </c>
      <c r="H33" s="18">
        <f t="shared" si="4"/>
        <v>6155</v>
      </c>
      <c r="I33" s="19">
        <f t="shared" si="5"/>
        <v>0.08463156737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1" t="s">
        <v>21</v>
      </c>
      <c r="B34" s="13">
        <v>3228.0</v>
      </c>
      <c r="C34" s="13">
        <v>4021.0</v>
      </c>
      <c r="D34" s="13">
        <v>2114.0</v>
      </c>
      <c r="E34" s="13">
        <v>700.0</v>
      </c>
      <c r="F34" s="13">
        <v>583.0</v>
      </c>
      <c r="G34" s="31">
        <v>0.0</v>
      </c>
      <c r="H34" s="18">
        <f t="shared" si="4"/>
        <v>10646</v>
      </c>
      <c r="I34" s="19">
        <f t="shared" si="5"/>
        <v>0.1463830489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1" t="s">
        <v>22</v>
      </c>
      <c r="B35" s="13">
        <v>283.0</v>
      </c>
      <c r="C35" s="13">
        <v>78.0</v>
      </c>
      <c r="D35" s="13">
        <v>285.0</v>
      </c>
      <c r="E35" s="13">
        <v>3.0</v>
      </c>
      <c r="F35" s="13">
        <v>31.0</v>
      </c>
      <c r="G35" s="31">
        <f>10*3</f>
        <v>30</v>
      </c>
      <c r="H35" s="18">
        <f t="shared" si="4"/>
        <v>710</v>
      </c>
      <c r="I35" s="19">
        <f t="shared" si="5"/>
        <v>0.00976253661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1" t="s">
        <v>23</v>
      </c>
      <c r="B36" s="13">
        <v>87.0</v>
      </c>
      <c r="C36" s="13">
        <v>16.0</v>
      </c>
      <c r="D36" s="13">
        <v>19.0</v>
      </c>
      <c r="E36" s="13">
        <v>11.0</v>
      </c>
      <c r="F36" s="13">
        <v>37.0</v>
      </c>
      <c r="G36" s="31">
        <f t="shared" ref="G36:G37" si="6">7*3</f>
        <v>21</v>
      </c>
      <c r="H36" s="18">
        <f t="shared" si="4"/>
        <v>191</v>
      </c>
      <c r="I36" s="19">
        <f t="shared" si="5"/>
        <v>0.002626259848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1" t="s">
        <v>24</v>
      </c>
      <c r="B37" s="13">
        <v>1.0</v>
      </c>
      <c r="C37" s="13">
        <v>0.0</v>
      </c>
      <c r="D37" s="13">
        <v>8.0</v>
      </c>
      <c r="E37" s="13">
        <v>59.0</v>
      </c>
      <c r="F37" s="13">
        <v>51.0</v>
      </c>
      <c r="G37" s="31">
        <f t="shared" si="6"/>
        <v>21</v>
      </c>
      <c r="H37" s="18">
        <f t="shared" si="4"/>
        <v>140</v>
      </c>
      <c r="I37" s="19">
        <f t="shared" si="5"/>
        <v>0.001925007219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1" t="s">
        <v>25</v>
      </c>
      <c r="B38" s="13">
        <v>8.0</v>
      </c>
      <c r="C38" s="13">
        <v>16.0</v>
      </c>
      <c r="D38" s="13">
        <v>0.0</v>
      </c>
      <c r="E38" s="13">
        <v>3.0</v>
      </c>
      <c r="F38" s="13">
        <v>4.0</v>
      </c>
      <c r="G38" s="31">
        <v>0.0</v>
      </c>
      <c r="H38" s="18">
        <f t="shared" si="4"/>
        <v>31</v>
      </c>
      <c r="I38" s="19">
        <f t="shared" si="5"/>
        <v>0.0004262515984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1" t="s">
        <v>26</v>
      </c>
      <c r="B39" s="13">
        <v>173.0</v>
      </c>
      <c r="C39" s="13">
        <v>0.0</v>
      </c>
      <c r="D39" s="13">
        <v>0.0</v>
      </c>
      <c r="E39" s="13">
        <v>2.0</v>
      </c>
      <c r="F39" s="13">
        <v>0.0</v>
      </c>
      <c r="G39" s="31">
        <v>0.0</v>
      </c>
      <c r="H39" s="18">
        <f t="shared" si="4"/>
        <v>175</v>
      </c>
      <c r="I39" s="19">
        <f t="shared" si="5"/>
        <v>0.002406259023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1" t="s">
        <v>27</v>
      </c>
      <c r="B40" s="13">
        <v>322.0</v>
      </c>
      <c r="C40" s="13">
        <v>92.0</v>
      </c>
      <c r="D40" s="13">
        <v>69.0</v>
      </c>
      <c r="E40" s="13">
        <v>45.0</v>
      </c>
      <c r="F40" s="13">
        <v>43.0</v>
      </c>
      <c r="G40" s="31">
        <f>35*3</f>
        <v>105</v>
      </c>
      <c r="H40" s="18">
        <f t="shared" si="4"/>
        <v>676</v>
      </c>
      <c r="I40" s="19">
        <f t="shared" si="5"/>
        <v>0.009295034856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1" t="s">
        <v>28</v>
      </c>
      <c r="B41" s="13">
        <v>198.0</v>
      </c>
      <c r="C41" s="13">
        <v>42.0</v>
      </c>
      <c r="D41" s="13">
        <v>58.0</v>
      </c>
      <c r="E41" s="13">
        <v>431.0</v>
      </c>
      <c r="F41" s="13">
        <v>365.0</v>
      </c>
      <c r="G41" s="31">
        <f>320*3</f>
        <v>960</v>
      </c>
      <c r="H41" s="18">
        <f t="shared" si="4"/>
        <v>2054</v>
      </c>
      <c r="I41" s="19">
        <f t="shared" si="5"/>
        <v>0.02824260591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1" t="s">
        <v>29</v>
      </c>
      <c r="B42" s="13">
        <v>70.0</v>
      </c>
      <c r="C42" s="13">
        <v>0.0</v>
      </c>
      <c r="D42" s="13">
        <v>5.0</v>
      </c>
      <c r="E42" s="13">
        <v>14.0</v>
      </c>
      <c r="F42" s="13">
        <v>0.0</v>
      </c>
      <c r="G42" s="31">
        <f>1*3</f>
        <v>3</v>
      </c>
      <c r="H42" s="18">
        <f t="shared" si="4"/>
        <v>92</v>
      </c>
      <c r="I42" s="19">
        <f t="shared" si="5"/>
        <v>0.001265004744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1" t="s">
        <v>30</v>
      </c>
      <c r="B43" s="13">
        <v>52.0</v>
      </c>
      <c r="C43" s="13">
        <v>55.0</v>
      </c>
      <c r="D43" s="13">
        <v>117.0</v>
      </c>
      <c r="E43" s="13">
        <v>24.0</v>
      </c>
      <c r="F43" s="13">
        <v>0.0</v>
      </c>
      <c r="G43" s="31">
        <f>14*3</f>
        <v>42</v>
      </c>
      <c r="H43" s="18">
        <f t="shared" si="4"/>
        <v>290</v>
      </c>
      <c r="I43" s="19">
        <f t="shared" si="5"/>
        <v>0.003987514953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1" t="s">
        <v>31</v>
      </c>
      <c r="B44" s="13">
        <v>536.0</v>
      </c>
      <c r="C44" s="13">
        <v>348.0</v>
      </c>
      <c r="D44" s="13">
        <v>173.0</v>
      </c>
      <c r="E44" s="13">
        <v>167.0</v>
      </c>
      <c r="F44" s="13">
        <v>187.0</v>
      </c>
      <c r="G44" s="31">
        <f>522*3</f>
        <v>1566</v>
      </c>
      <c r="H44" s="18">
        <f t="shared" si="4"/>
        <v>2977</v>
      </c>
      <c r="I44" s="19">
        <f t="shared" si="5"/>
        <v>0.0409339035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1" t="s">
        <v>32</v>
      </c>
      <c r="B45" s="13">
        <v>961.0</v>
      </c>
      <c r="C45" s="13">
        <v>223.0</v>
      </c>
      <c r="D45" s="13">
        <v>464.0</v>
      </c>
      <c r="E45" s="13">
        <v>1114.0</v>
      </c>
      <c r="F45" s="13">
        <v>730.0</v>
      </c>
      <c r="G45" s="31">
        <f>688*3</f>
        <v>2064</v>
      </c>
      <c r="H45" s="18">
        <f t="shared" si="4"/>
        <v>5556</v>
      </c>
      <c r="I45" s="19">
        <f t="shared" si="5"/>
        <v>0.07639528648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18">
        <f t="shared" ref="B46:G46" si="7">SUM(B28:B45)</f>
        <v>12169</v>
      </c>
      <c r="C46" s="18">
        <f t="shared" si="7"/>
        <v>8538</v>
      </c>
      <c r="D46" s="18">
        <f t="shared" si="7"/>
        <v>11787</v>
      </c>
      <c r="E46" s="18">
        <f t="shared" si="7"/>
        <v>13191</v>
      </c>
      <c r="F46" s="18">
        <f t="shared" si="7"/>
        <v>14544</v>
      </c>
      <c r="G46" s="18">
        <f t="shared" si="7"/>
        <v>12498</v>
      </c>
      <c r="H46" s="28"/>
      <c r="I46" s="29">
        <f>SUM(H28:H45)</f>
        <v>72727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32"/>
      <c r="B50" s="33">
        <v>2012.0</v>
      </c>
      <c r="C50" s="33">
        <v>2013.0</v>
      </c>
      <c r="D50" s="33">
        <v>2014.0</v>
      </c>
      <c r="E50" s="33">
        <v>2015.0</v>
      </c>
      <c r="F50" s="33">
        <v>2016.0</v>
      </c>
      <c r="G50" s="33">
        <v>2017.0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33" t="s">
        <v>33</v>
      </c>
      <c r="B51" s="34">
        <v>12169.0</v>
      </c>
      <c r="C51" s="34">
        <v>8538.0</v>
      </c>
      <c r="D51" s="34">
        <v>11787.0</v>
      </c>
      <c r="E51" s="34">
        <v>13191.0</v>
      </c>
      <c r="F51" s="34">
        <v>14544.0</v>
      </c>
      <c r="G51" s="34">
        <f>4166*3</f>
        <v>12498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33" t="s">
        <v>2</v>
      </c>
      <c r="B52" s="34">
        <v>6877.0</v>
      </c>
      <c r="C52" s="34">
        <v>5305.0</v>
      </c>
      <c r="D52" s="34">
        <v>17698.0</v>
      </c>
      <c r="E52" s="34">
        <v>15674.0</v>
      </c>
      <c r="F52" s="34">
        <v>18068.0</v>
      </c>
      <c r="G52" s="34">
        <f>19260*3</f>
        <v>57780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">
    <mergeCell ref="B1:I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/>
  </sheetPr>
  <sheetViews>
    <sheetView workbookViewId="0"/>
  </sheetViews>
  <sheetFormatPr customHeight="1" defaultColWidth="14.43" defaultRowHeight="15.75"/>
  <cols>
    <col customWidth="1" min="1" max="1" width="20.71"/>
  </cols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/>
  </sheetPr>
  <sheetViews>
    <sheetView workbookViewId="0"/>
  </sheetViews>
  <sheetFormatPr customHeight="1" defaultColWidth="14.43" defaultRowHeight="15.75"/>
  <cols>
    <col customWidth="1" min="1" max="1" width="18.71"/>
    <col customWidth="1" min="2" max="13" width="9.14"/>
    <col customWidth="1" min="14" max="14" width="9.43"/>
  </cols>
  <sheetData>
    <row r="1">
      <c r="A1" s="1" t="s">
        <v>34</v>
      </c>
    </row>
    <row r="2">
      <c r="N2" s="35"/>
    </row>
    <row r="3">
      <c r="A3" s="36" t="s">
        <v>33</v>
      </c>
      <c r="B3" s="3">
        <v>2006.0</v>
      </c>
      <c r="C3" s="3">
        <v>2007.0</v>
      </c>
      <c r="D3" s="3">
        <v>2008.0</v>
      </c>
      <c r="E3" s="3">
        <v>2009.0</v>
      </c>
      <c r="F3" s="3">
        <v>2010.0</v>
      </c>
      <c r="G3" s="3">
        <v>2011.0</v>
      </c>
      <c r="H3" s="3">
        <v>2012.0</v>
      </c>
      <c r="I3" s="3">
        <v>2013.0</v>
      </c>
      <c r="J3" s="3">
        <v>2014.0</v>
      </c>
      <c r="K3" s="3">
        <v>2015.0</v>
      </c>
      <c r="L3" s="3">
        <v>2016.0</v>
      </c>
      <c r="M3" s="3">
        <v>2017.0</v>
      </c>
      <c r="N3" s="35"/>
    </row>
    <row r="4">
      <c r="A4" s="3" t="s">
        <v>35</v>
      </c>
      <c r="B4" s="17">
        <v>4556.6763</v>
      </c>
      <c r="C4" s="17">
        <v>8576.6189</v>
      </c>
      <c r="D4" s="17">
        <v>8806.0054</v>
      </c>
      <c r="E4" s="17">
        <v>6595.8683</v>
      </c>
      <c r="F4" s="17">
        <v>6182.6873</v>
      </c>
      <c r="G4" s="17">
        <v>3672.3303</v>
      </c>
      <c r="H4" s="37">
        <v>1996.6443</v>
      </c>
      <c r="I4" s="37">
        <v>1428.9932</v>
      </c>
      <c r="J4" s="37">
        <v>1948.1441</v>
      </c>
      <c r="K4" s="37">
        <v>1970.9571</v>
      </c>
      <c r="L4" s="37">
        <v>2430.0578</v>
      </c>
      <c r="M4" s="17">
        <f>707.748*3</f>
        <v>2123.244</v>
      </c>
      <c r="N4" s="38">
        <f t="shared" ref="N4:N5" si="1">SUM(B4:M4)</f>
        <v>50288.227</v>
      </c>
    </row>
    <row r="5">
      <c r="A5" s="3" t="s">
        <v>36</v>
      </c>
      <c r="B5" s="39">
        <v>28050.2</v>
      </c>
      <c r="C5" s="39">
        <v>22952.5</v>
      </c>
      <c r="D5" s="39">
        <v>18394.5</v>
      </c>
      <c r="E5" s="39">
        <v>16018.4</v>
      </c>
      <c r="F5" s="39">
        <v>18001.3</v>
      </c>
      <c r="G5" s="39">
        <v>13262.4</v>
      </c>
      <c r="H5" s="39">
        <v>8944.1</v>
      </c>
      <c r="I5" s="39">
        <v>5121.3</v>
      </c>
      <c r="J5" s="39">
        <v>5731.0</v>
      </c>
      <c r="K5" s="39">
        <v>5921.3</v>
      </c>
      <c r="L5" s="39">
        <v>5395.0</v>
      </c>
      <c r="M5" s="17">
        <f>(2256/8)*12</f>
        <v>3384</v>
      </c>
      <c r="N5" s="38">
        <f t="shared" si="1"/>
        <v>151176</v>
      </c>
    </row>
    <row r="6">
      <c r="B6" s="40">
        <f t="shared" ref="B6:N6" si="2">B4/B5</f>
        <v>0.1624471947</v>
      </c>
      <c r="C6" s="40">
        <f t="shared" si="2"/>
        <v>0.3736681799</v>
      </c>
      <c r="D6" s="40">
        <f t="shared" si="2"/>
        <v>0.4787303487</v>
      </c>
      <c r="E6" s="40">
        <f t="shared" si="2"/>
        <v>0.4117682353</v>
      </c>
      <c r="F6" s="40">
        <f t="shared" si="2"/>
        <v>0.3434578225</v>
      </c>
      <c r="G6" s="40">
        <f t="shared" si="2"/>
        <v>0.2768978692</v>
      </c>
      <c r="H6" s="40">
        <f t="shared" si="2"/>
        <v>0.2232359097</v>
      </c>
      <c r="I6" s="40">
        <f t="shared" si="2"/>
        <v>0.2790293871</v>
      </c>
      <c r="J6" s="40">
        <f t="shared" si="2"/>
        <v>0.3399309196</v>
      </c>
      <c r="K6" s="40">
        <f t="shared" si="2"/>
        <v>0.3328588486</v>
      </c>
      <c r="L6" s="40">
        <f t="shared" si="2"/>
        <v>0.4504277665</v>
      </c>
      <c r="M6" s="40">
        <f t="shared" si="2"/>
        <v>0.6274361702</v>
      </c>
      <c r="N6" s="44">
        <f t="shared" si="2"/>
        <v>0.332646895</v>
      </c>
    </row>
    <row r="7">
      <c r="N7" s="46" t="s">
        <v>41</v>
      </c>
    </row>
    <row r="9">
      <c r="A9" s="36" t="s">
        <v>2</v>
      </c>
      <c r="B9" s="3">
        <v>2006.0</v>
      </c>
      <c r="C9" s="3">
        <v>2007.0</v>
      </c>
      <c r="D9" s="3">
        <v>2008.0</v>
      </c>
      <c r="E9" s="3">
        <v>2009.0</v>
      </c>
      <c r="F9" s="3">
        <v>2010.0</v>
      </c>
      <c r="G9" s="3">
        <v>2011.0</v>
      </c>
      <c r="H9" s="3">
        <v>2012.0</v>
      </c>
      <c r="I9" s="3">
        <v>2013.0</v>
      </c>
      <c r="J9" s="3">
        <v>2014.0</v>
      </c>
      <c r="K9" s="3">
        <v>2015.0</v>
      </c>
      <c r="L9" s="3">
        <v>2016.0</v>
      </c>
      <c r="M9" s="3">
        <v>2017.0</v>
      </c>
      <c r="N9" s="35"/>
    </row>
    <row r="10">
      <c r="A10" s="3" t="s">
        <v>35</v>
      </c>
      <c r="B10" s="17">
        <v>405.6407</v>
      </c>
      <c r="C10" s="17">
        <v>543.6914</v>
      </c>
      <c r="D10" s="17">
        <v>1439.7029</v>
      </c>
      <c r="E10" s="17">
        <v>1044.6749</v>
      </c>
      <c r="F10" s="17">
        <v>1366.829</v>
      </c>
      <c r="G10" s="17">
        <v>544.711</v>
      </c>
      <c r="H10" s="37">
        <v>1281.5984</v>
      </c>
      <c r="I10" s="37">
        <v>957.0156</v>
      </c>
      <c r="J10" s="37">
        <v>3151.9844</v>
      </c>
      <c r="K10" s="37">
        <v>2966.0948</v>
      </c>
      <c r="L10" s="37">
        <v>3012.8598</v>
      </c>
      <c r="M10" s="37">
        <f>2798.4439*3</f>
        <v>8395.3317</v>
      </c>
      <c r="N10" s="38">
        <f t="shared" ref="N10:N11" si="3">SUM(B10:M10)</f>
        <v>25110.1346</v>
      </c>
    </row>
    <row r="11">
      <c r="A11" s="3" t="s">
        <v>36</v>
      </c>
      <c r="B11" s="39">
        <v>15643.9</v>
      </c>
      <c r="C11" s="39">
        <v>11258.0</v>
      </c>
      <c r="D11" s="39">
        <v>13186.1</v>
      </c>
      <c r="E11" s="39">
        <v>14718.5</v>
      </c>
      <c r="F11" s="39">
        <v>15330.6</v>
      </c>
      <c r="G11" s="39">
        <v>16300.6</v>
      </c>
      <c r="H11" s="39">
        <v>15689.0</v>
      </c>
      <c r="I11" s="39">
        <v>14613.5</v>
      </c>
      <c r="J11" s="39">
        <v>21648.0</v>
      </c>
      <c r="K11" s="39">
        <v>26248.8</v>
      </c>
      <c r="L11" s="39">
        <v>22235.0</v>
      </c>
      <c r="M11" s="39">
        <f>(20524/8)*12</f>
        <v>30786</v>
      </c>
      <c r="N11" s="38">
        <f t="shared" si="3"/>
        <v>217658</v>
      </c>
    </row>
    <row r="12">
      <c r="B12" s="40">
        <f t="shared" ref="B12:N12" si="4">B10/B11</f>
        <v>0.02592964031</v>
      </c>
      <c r="C12" s="40">
        <f t="shared" si="4"/>
        <v>0.0482937822</v>
      </c>
      <c r="D12" s="40">
        <f t="shared" si="4"/>
        <v>0.1091833749</v>
      </c>
      <c r="E12" s="40">
        <f t="shared" si="4"/>
        <v>0.07097699494</v>
      </c>
      <c r="F12" s="40">
        <f t="shared" si="4"/>
        <v>0.08915691493</v>
      </c>
      <c r="G12" s="40">
        <f t="shared" si="4"/>
        <v>0.0334166227</v>
      </c>
      <c r="H12" s="40">
        <f t="shared" si="4"/>
        <v>0.08168770476</v>
      </c>
      <c r="I12" s="40">
        <f t="shared" si="4"/>
        <v>0.0654884593</v>
      </c>
      <c r="J12" s="40">
        <f t="shared" si="4"/>
        <v>0.1456016445</v>
      </c>
      <c r="K12" s="40">
        <f t="shared" si="4"/>
        <v>0.1129992533</v>
      </c>
      <c r="L12" s="40">
        <f t="shared" si="4"/>
        <v>0.1355007781</v>
      </c>
      <c r="M12" s="40">
        <f t="shared" si="4"/>
        <v>0.2726996589</v>
      </c>
      <c r="N12" s="44">
        <f t="shared" si="4"/>
        <v>0.1153650893</v>
      </c>
    </row>
    <row r="13">
      <c r="N13" s="46" t="s">
        <v>41</v>
      </c>
    </row>
    <row r="34">
      <c r="A34" s="3" t="s">
        <v>58</v>
      </c>
      <c r="B34" s="55">
        <v>2006.0</v>
      </c>
      <c r="C34" s="55">
        <v>2007.0</v>
      </c>
      <c r="D34" s="55">
        <v>2008.0</v>
      </c>
      <c r="E34" s="55">
        <v>2009.0</v>
      </c>
      <c r="F34" s="55">
        <v>2010.0</v>
      </c>
      <c r="G34" s="55">
        <v>2011.0</v>
      </c>
      <c r="H34" s="55">
        <v>2012.0</v>
      </c>
      <c r="I34" s="55">
        <v>2013.0</v>
      </c>
      <c r="J34" s="55">
        <v>2014.0</v>
      </c>
      <c r="K34" s="55">
        <v>2015.0</v>
      </c>
      <c r="L34" s="55">
        <v>2016.0</v>
      </c>
    </row>
    <row r="35">
      <c r="A35" s="55" t="s">
        <v>35</v>
      </c>
      <c r="B35" s="12">
        <v>1.0</v>
      </c>
      <c r="C35" s="12">
        <v>9.0</v>
      </c>
      <c r="D35" s="12">
        <v>9.0</v>
      </c>
      <c r="E35" s="12">
        <v>12.0</v>
      </c>
      <c r="F35" s="12">
        <v>31.0</v>
      </c>
      <c r="G35" s="12">
        <v>82.0</v>
      </c>
      <c r="H35" s="12">
        <v>80.0</v>
      </c>
      <c r="I35" s="12">
        <v>37.0</v>
      </c>
      <c r="J35" s="12">
        <v>46.0</v>
      </c>
      <c r="K35" s="12">
        <v>76.0</v>
      </c>
      <c r="L35" s="12">
        <v>66.0</v>
      </c>
      <c r="M35" s="56">
        <f t="shared" ref="M35:M36" si="5">SUM(I35:L35)</f>
        <v>225</v>
      </c>
    </row>
    <row r="36">
      <c r="A36" s="55" t="s">
        <v>36</v>
      </c>
      <c r="B36" s="57"/>
      <c r="C36" s="57"/>
      <c r="D36" s="57"/>
      <c r="E36" s="57"/>
      <c r="F36" s="57"/>
      <c r="G36" s="57"/>
      <c r="H36" s="57"/>
      <c r="I36" s="57">
        <v>108.0</v>
      </c>
      <c r="J36" s="57">
        <v>112.0</v>
      </c>
      <c r="K36" s="57">
        <v>185.0</v>
      </c>
      <c r="L36" s="12">
        <v>112.0</v>
      </c>
      <c r="M36" s="58">
        <f t="shared" si="5"/>
        <v>517</v>
      </c>
    </row>
    <row r="37">
      <c r="B37" s="40"/>
      <c r="C37" s="40"/>
      <c r="D37" s="40"/>
      <c r="E37" s="40"/>
      <c r="F37" s="40"/>
      <c r="G37" s="40"/>
      <c r="H37" s="40"/>
      <c r="I37" s="40">
        <f t="shared" ref="I37:M37" si="6">I35/I36</f>
        <v>0.3425925926</v>
      </c>
      <c r="J37" s="40">
        <f t="shared" si="6"/>
        <v>0.4107142857</v>
      </c>
      <c r="K37" s="40">
        <f t="shared" si="6"/>
        <v>0.4108108108</v>
      </c>
      <c r="L37" s="40">
        <f t="shared" si="6"/>
        <v>0.5892857143</v>
      </c>
      <c r="M37" s="44">
        <f t="shared" si="6"/>
        <v>0.4352030948</v>
      </c>
    </row>
    <row r="38">
      <c r="M38" s="46" t="s">
        <v>41</v>
      </c>
    </row>
    <row r="40">
      <c r="A40" s="3" t="s">
        <v>59</v>
      </c>
      <c r="B40" s="55">
        <v>2006.0</v>
      </c>
      <c r="C40" s="55">
        <v>2007.0</v>
      </c>
      <c r="D40" s="55">
        <v>2008.0</v>
      </c>
      <c r="E40" s="55">
        <v>2009.0</v>
      </c>
      <c r="F40" s="55">
        <v>2010.0</v>
      </c>
      <c r="G40" s="55">
        <v>2011.0</v>
      </c>
      <c r="H40" s="55">
        <v>2012.0</v>
      </c>
      <c r="I40" s="55">
        <v>2013.0</v>
      </c>
      <c r="J40" s="55">
        <v>2014.0</v>
      </c>
      <c r="K40" s="55">
        <v>2015.0</v>
      </c>
      <c r="L40" s="55">
        <v>2016.0</v>
      </c>
    </row>
    <row r="41">
      <c r="A41" s="55" t="s">
        <v>35</v>
      </c>
      <c r="B41" s="6">
        <v>13.95</v>
      </c>
      <c r="C41" s="6">
        <v>8.86</v>
      </c>
      <c r="D41" s="6">
        <v>9.87</v>
      </c>
      <c r="E41" s="6">
        <v>1831.07</v>
      </c>
      <c r="F41" s="6">
        <v>3162.29</v>
      </c>
      <c r="G41" s="6">
        <v>9763.34</v>
      </c>
      <c r="H41" s="7">
        <v>11441.02</v>
      </c>
      <c r="I41" s="7">
        <v>4741.38</v>
      </c>
      <c r="J41" s="7">
        <v>9730.7</v>
      </c>
      <c r="K41" s="7">
        <v>17723.03</v>
      </c>
      <c r="L41" s="7">
        <v>11804.13</v>
      </c>
      <c r="M41" s="58">
        <f t="shared" ref="M41:M42" si="7">SUM(I41:L41)</f>
        <v>43999.24</v>
      </c>
    </row>
    <row r="42">
      <c r="A42" s="55" t="s">
        <v>36</v>
      </c>
      <c r="B42" s="57"/>
      <c r="C42" s="57"/>
      <c r="D42" s="57"/>
      <c r="E42" s="57"/>
      <c r="F42" s="57"/>
      <c r="G42" s="57"/>
      <c r="H42" s="57"/>
      <c r="I42" s="7">
        <v>11220.0</v>
      </c>
      <c r="J42" s="7">
        <v>17565.0</v>
      </c>
      <c r="K42" s="7">
        <v>35153.0</v>
      </c>
      <c r="L42" s="7">
        <v>22957.0</v>
      </c>
      <c r="M42" s="58">
        <f t="shared" si="7"/>
        <v>86895</v>
      </c>
    </row>
    <row r="43">
      <c r="B43" s="40"/>
      <c r="C43" s="40"/>
      <c r="D43" s="40"/>
      <c r="E43" s="40"/>
      <c r="F43" s="40"/>
      <c r="G43" s="40"/>
      <c r="H43" s="40"/>
      <c r="I43" s="40">
        <f t="shared" ref="I43:M43" si="8">I41/I42</f>
        <v>0.4225828877</v>
      </c>
      <c r="J43" s="40">
        <f t="shared" si="8"/>
        <v>0.5539823513</v>
      </c>
      <c r="K43" s="40">
        <f t="shared" si="8"/>
        <v>0.5041683498</v>
      </c>
      <c r="L43" s="40">
        <f t="shared" si="8"/>
        <v>0.5141843446</v>
      </c>
      <c r="M43" s="44">
        <f t="shared" si="8"/>
        <v>0.5063495023</v>
      </c>
    </row>
    <row r="44">
      <c r="M44" s="46" t="s">
        <v>41</v>
      </c>
    </row>
  </sheetData>
  <mergeCells count="1">
    <mergeCell ref="A1:N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/>
  </sheetPr>
  <sheetViews>
    <sheetView workbookViewId="0"/>
  </sheetViews>
  <sheetFormatPr customHeight="1" defaultColWidth="14.43" defaultRowHeight="15.75"/>
  <cols>
    <col customWidth="1" min="1" max="1" width="31.57"/>
    <col customWidth="1" min="2" max="2" width="22.43"/>
    <col customWidth="1" min="3" max="3" width="21.43"/>
  </cols>
  <sheetData>
    <row r="1">
      <c r="A1" s="41" t="s">
        <v>37</v>
      </c>
      <c r="B1" s="42" t="s">
        <v>38</v>
      </c>
      <c r="C1" s="43" t="s">
        <v>39</v>
      </c>
    </row>
    <row r="2">
      <c r="A2" s="45" t="s">
        <v>40</v>
      </c>
      <c r="B2" s="47">
        <v>200000.0</v>
      </c>
      <c r="C2" s="47">
        <v>200000.0</v>
      </c>
    </row>
    <row r="3">
      <c r="A3" s="48" t="s">
        <v>42</v>
      </c>
      <c r="B3" s="49">
        <v>151040.0</v>
      </c>
      <c r="C3" s="49">
        <v>151040.0</v>
      </c>
    </row>
    <row r="4">
      <c r="A4" s="45" t="s">
        <v>43</v>
      </c>
      <c r="B4" s="47">
        <v>40000.0</v>
      </c>
      <c r="C4" s="47">
        <v>60000.0</v>
      </c>
    </row>
    <row r="5">
      <c r="A5" s="50" t="s">
        <v>44</v>
      </c>
      <c r="B5" s="50">
        <v>0.0</v>
      </c>
      <c r="C5" s="51">
        <v>1000000.0</v>
      </c>
    </row>
    <row r="6">
      <c r="A6" s="45" t="s">
        <v>45</v>
      </c>
      <c r="B6" s="47">
        <v>217800.0</v>
      </c>
      <c r="C6" s="47">
        <v>435600.0</v>
      </c>
    </row>
    <row r="7">
      <c r="A7" s="48" t="s">
        <v>46</v>
      </c>
      <c r="B7" s="49">
        <v>208800.0</v>
      </c>
      <c r="C7" s="49">
        <v>208800.0</v>
      </c>
    </row>
    <row r="8">
      <c r="A8" s="45" t="s">
        <v>47</v>
      </c>
      <c r="B8" s="47">
        <v>187944.0</v>
      </c>
      <c r="C8" s="47">
        <v>187944.0</v>
      </c>
    </row>
    <row r="9">
      <c r="A9" s="48" t="s">
        <v>48</v>
      </c>
      <c r="B9" s="49">
        <v>165000.0</v>
      </c>
      <c r="C9" s="49">
        <v>665000.0</v>
      </c>
    </row>
    <row r="10">
      <c r="A10" s="45" t="s">
        <v>49</v>
      </c>
      <c r="B10" s="47">
        <v>162000.0</v>
      </c>
      <c r="C10" s="47">
        <v>162000.0</v>
      </c>
    </row>
    <row r="11">
      <c r="A11" s="48" t="s">
        <v>50</v>
      </c>
      <c r="B11" s="49">
        <v>128000.0</v>
      </c>
      <c r="C11" s="49">
        <v>128000.0</v>
      </c>
    </row>
    <row r="12">
      <c r="A12" s="52" t="s">
        <v>51</v>
      </c>
      <c r="B12" s="47">
        <v>110000.0</v>
      </c>
      <c r="C12" s="47">
        <v>110000.0</v>
      </c>
    </row>
    <row r="13">
      <c r="A13" s="48" t="s">
        <v>52</v>
      </c>
      <c r="B13" s="49">
        <v>62000.0</v>
      </c>
      <c r="C13" s="49">
        <v>62000.0</v>
      </c>
    </row>
    <row r="14">
      <c r="A14" s="45" t="s">
        <v>53</v>
      </c>
      <c r="B14" s="47">
        <v>54000.0</v>
      </c>
      <c r="C14" s="47">
        <v>54000.0</v>
      </c>
    </row>
    <row r="15">
      <c r="A15" s="48" t="s">
        <v>54</v>
      </c>
      <c r="B15" s="49">
        <v>37500.0</v>
      </c>
      <c r="C15" s="49">
        <v>37500.0</v>
      </c>
    </row>
    <row r="16">
      <c r="A16" s="45" t="s">
        <v>55</v>
      </c>
      <c r="B16" s="47">
        <v>25000.0</v>
      </c>
      <c r="C16" s="47">
        <v>25000.0</v>
      </c>
    </row>
    <row r="17">
      <c r="A17" s="48" t="s">
        <v>56</v>
      </c>
      <c r="B17" s="49">
        <v>4100.0</v>
      </c>
      <c r="C17" s="49">
        <v>49100.0</v>
      </c>
    </row>
    <row r="18">
      <c r="A18" s="42" t="s">
        <v>38</v>
      </c>
      <c r="B18" s="53">
        <f>SUM(B2:B17)</f>
        <v>1753184</v>
      </c>
    </row>
    <row r="19">
      <c r="A19" s="3" t="s">
        <v>57</v>
      </c>
      <c r="B19" s="54">
        <v>16.2876123279</v>
      </c>
    </row>
  </sheetData>
  <drawing r:id="rId1"/>
</worksheet>
</file>